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pivotTables/pivotTable8.xml" ContentType="application/vnd.openxmlformats-officedocument.spreadsheetml.pivotTable+xml"/>
  <Override PartName="/xl/drawings/drawing9.xml" ContentType="application/vnd.openxmlformats-officedocument.drawing+xml"/>
  <Override PartName="/xl/pivotTables/pivotTable9.xml" ContentType="application/vnd.openxmlformats-officedocument.spreadsheetml.pivotTable+xml"/>
  <Override PartName="/xl/drawings/drawing10.xml" ContentType="application/vnd.openxmlformats-officedocument.drawing+xml"/>
  <Override PartName="/xl/pivotTables/pivotTable10.xml" ContentType="application/vnd.openxmlformats-officedocument.spreadsheetml.pivotTable+xml"/>
  <Override PartName="/xl/drawings/drawing11.xml" ContentType="application/vnd.openxmlformats-officedocument.drawing+xml"/>
  <Override PartName="/xl/pivotTables/pivotTable11.xml" ContentType="application/vnd.openxmlformats-officedocument.spreadsheetml.pivotTable+xml"/>
  <Override PartName="/xl/drawings/drawing12.xml" ContentType="application/vnd.openxmlformats-officedocument.drawing+xml"/>
  <Override PartName="/xl/pivotTables/pivotTable12.xml" ContentType="application/vnd.openxmlformats-officedocument.spreadsheetml.pivotTable+xml"/>
  <Override PartName="/xl/drawings/drawing13.xml" ContentType="application/vnd.openxmlformats-officedocument.drawing+xml"/>
  <Override PartName="/xl/pivotTables/pivotTable13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pre\"/>
    </mc:Choice>
  </mc:AlternateContent>
  <xr:revisionPtr revIDLastSave="0" documentId="13_ncr:1_{6FA5E5F5-12AE-4716-8E26-C01EFB92B6BD}" xr6:coauthVersionLast="47" xr6:coauthVersionMax="47" xr10:uidLastSave="{00000000-0000-0000-0000-000000000000}"/>
  <bookViews>
    <workbookView xWindow="-120" yWindow="-120" windowWidth="29040" windowHeight="15840" firstSheet="1" activeTab="1" xr2:uid="{D1F78BAC-84C4-4E9B-8CE1-4EBBFA3E55E2}"/>
  </bookViews>
  <sheets>
    <sheet name="Presupuesto aprobado 2024" sheetId="3" state="hidden" r:id="rId1"/>
    <sheet name="Ejec. Presu. enero 2025 " sheetId="17" r:id="rId2"/>
    <sheet name="ENERO1" sheetId="2" state="hidden" r:id="rId3"/>
    <sheet name="FEBRERO" sheetId="1" state="hidden" r:id="rId4"/>
    <sheet name="MARZO" sheetId="5" state="hidden" r:id="rId5"/>
    <sheet name="ABRIL" sheetId="6" state="hidden" r:id="rId6"/>
    <sheet name="MAYO" sheetId="7" state="hidden" r:id="rId7"/>
    <sheet name="JUNIO" sheetId="8" state="hidden" r:id="rId8"/>
    <sheet name="JULIO" sheetId="9" state="hidden" r:id="rId9"/>
    <sheet name="AGOSTO" sheetId="10" state="hidden" r:id="rId10"/>
    <sheet name="SEPTIEMBRE" sheetId="11" state="hidden" r:id="rId11"/>
    <sheet name="OCTUBRE" sheetId="12" state="hidden" r:id="rId12"/>
    <sheet name="NOVIEMBRE" sheetId="13" state="hidden" r:id="rId13"/>
    <sheet name="DICIEMBRE" sheetId="14" state="hidden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5" hidden="1">ABRIL!$F$12:$Q$93</definedName>
    <definedName name="_xlnm._FilterDatabase" localSheetId="9" hidden="1">AGOSTO!$F$12:$Q$93</definedName>
    <definedName name="_xlnm._FilterDatabase" localSheetId="13" hidden="1">DICIEMBRE!$F$12:$Q$93</definedName>
    <definedName name="_xlnm._FilterDatabase" localSheetId="2" hidden="1">ENERO1!$B$12:$R$93</definedName>
    <definedName name="_xlnm._FilterDatabase" localSheetId="3" hidden="1">FEBRERO!$F$12:$Q$93</definedName>
    <definedName name="_xlnm._FilterDatabase" localSheetId="8" hidden="1">JULIO!$F$12:$Q$93</definedName>
    <definedName name="_xlnm._FilterDatabase" localSheetId="7" hidden="1">JUNIO!$F$12:$Q$93</definedName>
    <definedName name="_xlnm._FilterDatabase" localSheetId="4" hidden="1">MARZO!$F$12:$Q$93</definedName>
    <definedName name="_xlnm._FilterDatabase" localSheetId="6" hidden="1">MAYO!$F$12:$Q$93</definedName>
    <definedName name="_xlnm._FilterDatabase" localSheetId="12" hidden="1">NOVIEMBRE!$F$12:$Q$93</definedName>
    <definedName name="_xlnm._FilterDatabase" localSheetId="11" hidden="1">OCTUBRE!$F$12:$Q$93</definedName>
    <definedName name="_xlnm._FilterDatabase" localSheetId="0" hidden="1">'Presupuesto aprobado 2024'!#REF!</definedName>
    <definedName name="_xlnm._FilterDatabase" localSheetId="10" hidden="1">SEPTIEMBRE!$F$12:$Q$93</definedName>
    <definedName name="_xlnm.Print_Titles" localSheetId="5">ABRIL!$3:$9</definedName>
    <definedName name="_xlnm.Print_Titles" localSheetId="9">AGOSTO!$3:$9</definedName>
    <definedName name="_xlnm.Print_Titles" localSheetId="13">DICIEMBRE!$3:$9</definedName>
    <definedName name="_xlnm.Print_Titles" localSheetId="2">ENERO1!$3:$9</definedName>
    <definedName name="_xlnm.Print_Titles" localSheetId="3">FEBRERO!$3:$9</definedName>
    <definedName name="_xlnm.Print_Titles" localSheetId="8">JULIO!$3:$9</definedName>
    <definedName name="_xlnm.Print_Titles" localSheetId="7">JUNIO!$3:$9</definedName>
    <definedName name="_xlnm.Print_Titles" localSheetId="4">MARZO!$3:$9</definedName>
    <definedName name="_xlnm.Print_Titles" localSheetId="6">MAYO!$3:$9</definedName>
    <definedName name="_xlnm.Print_Titles" localSheetId="12">NOVIEMBRE!$3:$9</definedName>
    <definedName name="_xlnm.Print_Titles" localSheetId="11">OCTUBRE!$3:$9</definedName>
    <definedName name="_xlnm.Print_Titles" localSheetId="0">'Presupuesto aprobado 2024'!$3:$9</definedName>
    <definedName name="_xlnm.Print_Titles" localSheetId="10">SEPTIEMBRE!$3:$9</definedName>
  </definedNames>
  <calcPr calcId="191029"/>
  <pivotCaches>
    <pivotCache cacheId="0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7" l="1"/>
  <c r="P90" i="17" l="1"/>
  <c r="O90" i="17"/>
  <c r="N90" i="17"/>
  <c r="M90" i="17"/>
  <c r="L90" i="17"/>
  <c r="K90" i="17"/>
  <c r="J90" i="17"/>
  <c r="I90" i="17"/>
  <c r="H90" i="17"/>
  <c r="G90" i="17"/>
  <c r="F90" i="17"/>
  <c r="Q89" i="17"/>
  <c r="E88" i="17"/>
  <c r="Q88" i="17" s="1"/>
  <c r="Q87" i="17"/>
  <c r="Q86" i="17"/>
  <c r="E85" i="17"/>
  <c r="Q85" i="17" s="1"/>
  <c r="Q84" i="17"/>
  <c r="Q83" i="17"/>
  <c r="E82" i="17"/>
  <c r="Q80" i="17"/>
  <c r="Q79" i="17"/>
  <c r="Q78" i="17"/>
  <c r="Q77" i="17"/>
  <c r="Q76" i="17"/>
  <c r="E75" i="17"/>
  <c r="Q75" i="17" s="1"/>
  <c r="Q74" i="17"/>
  <c r="Q73" i="17"/>
  <c r="Q72" i="17"/>
  <c r="Q71" i="17"/>
  <c r="Q70" i="17"/>
  <c r="E69" i="17"/>
  <c r="Q69" i="17" s="1"/>
  <c r="Q68" i="17"/>
  <c r="Q67" i="17"/>
  <c r="Q66" i="17"/>
  <c r="Q65" i="17"/>
  <c r="E64" i="17"/>
  <c r="Q64" i="17" s="1"/>
  <c r="Q63" i="17"/>
  <c r="Q62" i="17"/>
  <c r="Q61" i="17"/>
  <c r="Q60" i="17"/>
  <c r="Q59" i="17"/>
  <c r="Q58" i="17"/>
  <c r="Q57" i="17"/>
  <c r="Q56" i="17"/>
  <c r="Q55" i="17"/>
  <c r="E54" i="17"/>
  <c r="Q54" i="17" s="1"/>
  <c r="Q53" i="17"/>
  <c r="Q52" i="17"/>
  <c r="Q51" i="17"/>
  <c r="Q50" i="17"/>
  <c r="Q49" i="17"/>
  <c r="Q48" i="17"/>
  <c r="Q47" i="17"/>
  <c r="E46" i="17"/>
  <c r="Q46" i="17" s="1"/>
  <c r="Q45" i="17"/>
  <c r="Q44" i="17"/>
  <c r="Q43" i="17"/>
  <c r="Q42" i="17"/>
  <c r="Q41" i="17"/>
  <c r="Q40" i="17"/>
  <c r="Q39" i="17"/>
  <c r="Q38" i="17"/>
  <c r="E37" i="17"/>
  <c r="Q37" i="17" s="1"/>
  <c r="Q36" i="17"/>
  <c r="Q35" i="17"/>
  <c r="Q34" i="17"/>
  <c r="Q33" i="17"/>
  <c r="Q32" i="17"/>
  <c r="Q31" i="17"/>
  <c r="Q30" i="17"/>
  <c r="Q29" i="17"/>
  <c r="Q28" i="17"/>
  <c r="E27" i="17"/>
  <c r="Q27" i="17" s="1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E11" i="17"/>
  <c r="Q11" i="17" s="1"/>
  <c r="C90" i="17"/>
  <c r="Q89" i="14"/>
  <c r="Q80" i="14"/>
  <c r="Q81" i="14"/>
  <c r="Q82" i="14"/>
  <c r="Q83" i="14"/>
  <c r="Q79" i="14"/>
  <c r="Q75" i="14"/>
  <c r="Q76" i="14"/>
  <c r="Q77" i="14"/>
  <c r="Q73" i="14"/>
  <c r="Q70" i="14"/>
  <c r="P57" i="14"/>
  <c r="Q52" i="14"/>
  <c r="P49" i="14"/>
  <c r="Q42" i="14"/>
  <c r="Q43" i="14"/>
  <c r="Q45" i="14"/>
  <c r="Q46" i="14"/>
  <c r="Q48" i="14"/>
  <c r="P40" i="14"/>
  <c r="Q34" i="14"/>
  <c r="Q35" i="14"/>
  <c r="Q36" i="14"/>
  <c r="Q38" i="14"/>
  <c r="Q39" i="14"/>
  <c r="Q31" i="14"/>
  <c r="Q22" i="14"/>
  <c r="Q25" i="14"/>
  <c r="Q28" i="14"/>
  <c r="Q17" i="14"/>
  <c r="Q18" i="14"/>
  <c r="P85" i="14"/>
  <c r="P78" i="14"/>
  <c r="Q92" i="14"/>
  <c r="P91" i="14"/>
  <c r="O91" i="14"/>
  <c r="N91" i="14"/>
  <c r="M91" i="14"/>
  <c r="L91" i="14"/>
  <c r="K91" i="14"/>
  <c r="J91" i="14"/>
  <c r="I91" i="14"/>
  <c r="I84" i="14" s="1"/>
  <c r="H91" i="14"/>
  <c r="H84" i="14" s="1"/>
  <c r="G91" i="14"/>
  <c r="F91" i="14"/>
  <c r="E91" i="14"/>
  <c r="Q90" i="14"/>
  <c r="P88" i="14"/>
  <c r="O88" i="14"/>
  <c r="O84" i="14" s="1"/>
  <c r="N88" i="14"/>
  <c r="M88" i="14"/>
  <c r="L88" i="14"/>
  <c r="L84" i="14" s="1"/>
  <c r="K88" i="14"/>
  <c r="K84" i="14" s="1"/>
  <c r="J88" i="14"/>
  <c r="I88" i="14"/>
  <c r="H88" i="14"/>
  <c r="G88" i="14"/>
  <c r="F88" i="14"/>
  <c r="E88" i="14"/>
  <c r="Q87" i="14"/>
  <c r="Q86" i="14"/>
  <c r="O85" i="14"/>
  <c r="N85" i="14"/>
  <c r="M85" i="14"/>
  <c r="M84" i="14" s="1"/>
  <c r="L85" i="14"/>
  <c r="K85" i="14"/>
  <c r="J85" i="14"/>
  <c r="J84" i="14" s="1"/>
  <c r="I85" i="14"/>
  <c r="H85" i="14"/>
  <c r="G85" i="14"/>
  <c r="F85" i="14"/>
  <c r="E85" i="14"/>
  <c r="E84" i="14"/>
  <c r="O78" i="14"/>
  <c r="N78" i="14"/>
  <c r="M78" i="14"/>
  <c r="L78" i="14"/>
  <c r="K78" i="14"/>
  <c r="J78" i="14"/>
  <c r="I78" i="14"/>
  <c r="H78" i="14"/>
  <c r="G78" i="14"/>
  <c r="F78" i="14"/>
  <c r="E78" i="14"/>
  <c r="Q74" i="14"/>
  <c r="O72" i="14"/>
  <c r="N72" i="14"/>
  <c r="M72" i="14"/>
  <c r="L72" i="14"/>
  <c r="K72" i="14"/>
  <c r="J72" i="14"/>
  <c r="I72" i="14"/>
  <c r="H72" i="14"/>
  <c r="G72" i="14"/>
  <c r="F72" i="14"/>
  <c r="E72" i="14"/>
  <c r="Q71" i="14"/>
  <c r="F69" i="14"/>
  <c r="E69" i="14"/>
  <c r="F68" i="14"/>
  <c r="E68" i="14"/>
  <c r="O67" i="14"/>
  <c r="N67" i="14"/>
  <c r="M67" i="14"/>
  <c r="L67" i="14"/>
  <c r="K67" i="14"/>
  <c r="J67" i="14"/>
  <c r="I67" i="14"/>
  <c r="H67" i="14"/>
  <c r="G67" i="14"/>
  <c r="F66" i="14"/>
  <c r="Q66" i="14" s="1"/>
  <c r="F65" i="14"/>
  <c r="Q64" i="14"/>
  <c r="F63" i="14"/>
  <c r="Q63" i="14" s="1"/>
  <c r="F62" i="14"/>
  <c r="Q62" i="14" s="1"/>
  <c r="F61" i="14"/>
  <c r="F60" i="14"/>
  <c r="Q60" i="14" s="1"/>
  <c r="F59" i="14"/>
  <c r="Q59" i="14" s="1"/>
  <c r="F58" i="14"/>
  <c r="Q58" i="14" s="1"/>
  <c r="O57" i="14"/>
  <c r="N57" i="14"/>
  <c r="M57" i="14"/>
  <c r="L57" i="14"/>
  <c r="K57" i="14"/>
  <c r="J57" i="14"/>
  <c r="I57" i="14"/>
  <c r="H57" i="14"/>
  <c r="G57" i="14"/>
  <c r="E57" i="14"/>
  <c r="Q56" i="14"/>
  <c r="Q55" i="14"/>
  <c r="Q54" i="14"/>
  <c r="F53" i="14"/>
  <c r="Q53" i="14" s="1"/>
  <c r="Q51" i="14"/>
  <c r="Q50" i="14"/>
  <c r="O49" i="14"/>
  <c r="N49" i="14"/>
  <c r="M49" i="14"/>
  <c r="L49" i="14"/>
  <c r="K49" i="14"/>
  <c r="J49" i="14"/>
  <c r="I49" i="14"/>
  <c r="H49" i="14"/>
  <c r="G49" i="14"/>
  <c r="E49" i="14"/>
  <c r="Q47" i="14"/>
  <c r="Q44" i="14"/>
  <c r="H41" i="14"/>
  <c r="Q41" i="14" s="1"/>
  <c r="O40" i="14"/>
  <c r="N40" i="14"/>
  <c r="M40" i="14"/>
  <c r="L40" i="14"/>
  <c r="K40" i="14"/>
  <c r="J40" i="14"/>
  <c r="I40" i="14"/>
  <c r="G40" i="14"/>
  <c r="F40" i="14"/>
  <c r="E40" i="14"/>
  <c r="Q37" i="14"/>
  <c r="Q33" i="14"/>
  <c r="Q32" i="14"/>
  <c r="O30" i="14"/>
  <c r="N30" i="14"/>
  <c r="M30" i="14"/>
  <c r="M13" i="14" s="1"/>
  <c r="M93" i="14" s="1"/>
  <c r="L30" i="14"/>
  <c r="K30" i="14"/>
  <c r="J30" i="14"/>
  <c r="I30" i="14"/>
  <c r="H30" i="14"/>
  <c r="G30" i="14"/>
  <c r="F30" i="14"/>
  <c r="E30" i="14"/>
  <c r="Q29" i="14"/>
  <c r="Q27" i="14"/>
  <c r="Q26" i="14"/>
  <c r="Q24" i="14"/>
  <c r="Q23" i="14"/>
  <c r="Q21" i="14"/>
  <c r="O20" i="14"/>
  <c r="N20" i="14"/>
  <c r="M20" i="14"/>
  <c r="L20" i="14"/>
  <c r="K20" i="14"/>
  <c r="J20" i="14"/>
  <c r="I20" i="14"/>
  <c r="H20" i="14"/>
  <c r="G20" i="14"/>
  <c r="F20" i="14"/>
  <c r="E20" i="14"/>
  <c r="Q19" i="14"/>
  <c r="Q16" i="14"/>
  <c r="O14" i="14"/>
  <c r="N14" i="14"/>
  <c r="M14" i="14"/>
  <c r="L14" i="14"/>
  <c r="K14" i="14"/>
  <c r="J14" i="14"/>
  <c r="I14" i="14"/>
  <c r="H14" i="14"/>
  <c r="G14" i="14"/>
  <c r="F14" i="14"/>
  <c r="E14" i="14"/>
  <c r="Q90" i="13"/>
  <c r="Q89" i="13"/>
  <c r="Q87" i="13"/>
  <c r="O85" i="13"/>
  <c r="Q81" i="13"/>
  <c r="Q82" i="13"/>
  <c r="Q83" i="13"/>
  <c r="O78" i="13"/>
  <c r="Q74" i="13"/>
  <c r="Q73" i="13"/>
  <c r="Q71" i="13"/>
  <c r="Q51" i="13"/>
  <c r="Q54" i="13"/>
  <c r="Q55" i="13"/>
  <c r="Q56" i="13"/>
  <c r="Q50" i="13"/>
  <c r="Q43" i="13"/>
  <c r="Q44" i="13"/>
  <c r="Q45" i="13"/>
  <c r="Q46" i="13"/>
  <c r="Q39" i="13"/>
  <c r="Q32" i="13"/>
  <c r="Q33" i="13"/>
  <c r="Q37" i="13"/>
  <c r="Q38" i="13"/>
  <c r="Q24" i="13"/>
  <c r="Q18" i="13"/>
  <c r="Q19" i="13"/>
  <c r="P20" i="13"/>
  <c r="P93" i="13"/>
  <c r="Q92" i="13"/>
  <c r="P91" i="13"/>
  <c r="O91" i="13"/>
  <c r="N91" i="13"/>
  <c r="M91" i="13"/>
  <c r="L91" i="13"/>
  <c r="K91" i="13"/>
  <c r="K84" i="13" s="1"/>
  <c r="J91" i="13"/>
  <c r="I91" i="13"/>
  <c r="H91" i="13"/>
  <c r="G91" i="13"/>
  <c r="F91" i="13"/>
  <c r="E91" i="13"/>
  <c r="Q91" i="13" s="1"/>
  <c r="P88" i="13"/>
  <c r="O88" i="13"/>
  <c r="N88" i="13"/>
  <c r="M88" i="13"/>
  <c r="L88" i="13"/>
  <c r="K88" i="13"/>
  <c r="J88" i="13"/>
  <c r="I88" i="13"/>
  <c r="H88" i="13"/>
  <c r="G88" i="13"/>
  <c r="F88" i="13"/>
  <c r="E88" i="13"/>
  <c r="N85" i="13"/>
  <c r="M85" i="13"/>
  <c r="M84" i="13" s="1"/>
  <c r="L85" i="13"/>
  <c r="K85" i="13"/>
  <c r="J85" i="13"/>
  <c r="I85" i="13"/>
  <c r="I84" i="13" s="1"/>
  <c r="H85" i="13"/>
  <c r="H84" i="13" s="1"/>
  <c r="G85" i="13"/>
  <c r="G84" i="13" s="1"/>
  <c r="F85" i="13"/>
  <c r="F84" i="13" s="1"/>
  <c r="E85" i="13"/>
  <c r="N84" i="13"/>
  <c r="L84" i="13"/>
  <c r="Q80" i="13"/>
  <c r="N78" i="13"/>
  <c r="M78" i="13"/>
  <c r="L78" i="13"/>
  <c r="K78" i="13"/>
  <c r="J78" i="13"/>
  <c r="I78" i="13"/>
  <c r="H78" i="13"/>
  <c r="G78" i="13"/>
  <c r="F78" i="13"/>
  <c r="E78" i="13"/>
  <c r="Q77" i="13"/>
  <c r="Q76" i="13"/>
  <c r="Q75" i="13"/>
  <c r="P72" i="13"/>
  <c r="N72" i="13"/>
  <c r="M72" i="13"/>
  <c r="L72" i="13"/>
  <c r="K72" i="13"/>
  <c r="J72" i="13"/>
  <c r="I72" i="13"/>
  <c r="H72" i="13"/>
  <c r="G72" i="13"/>
  <c r="F72" i="13"/>
  <c r="E72" i="13"/>
  <c r="Q70" i="13"/>
  <c r="F69" i="13"/>
  <c r="E69" i="13"/>
  <c r="F68" i="13"/>
  <c r="E68" i="13"/>
  <c r="N67" i="13"/>
  <c r="M67" i="13"/>
  <c r="L67" i="13"/>
  <c r="K67" i="13"/>
  <c r="J67" i="13"/>
  <c r="I67" i="13"/>
  <c r="H67" i="13"/>
  <c r="G67" i="13"/>
  <c r="F66" i="13"/>
  <c r="F65" i="13"/>
  <c r="Q65" i="13" s="1"/>
  <c r="Q64" i="13"/>
  <c r="F63" i="13"/>
  <c r="Q63" i="13" s="1"/>
  <c r="F62" i="13"/>
  <c r="F61" i="13"/>
  <c r="F60" i="13"/>
  <c r="Q60" i="13" s="1"/>
  <c r="F59" i="13"/>
  <c r="Q59" i="13" s="1"/>
  <c r="F58" i="13"/>
  <c r="P57" i="13"/>
  <c r="N57" i="13"/>
  <c r="M57" i="13"/>
  <c r="L57" i="13"/>
  <c r="K57" i="13"/>
  <c r="J57" i="13"/>
  <c r="I57" i="13"/>
  <c r="H57" i="13"/>
  <c r="G57" i="13"/>
  <c r="E57" i="13"/>
  <c r="F53" i="13"/>
  <c r="Q53" i="13" s="1"/>
  <c r="Q52" i="13"/>
  <c r="N49" i="13"/>
  <c r="M49" i="13"/>
  <c r="L49" i="13"/>
  <c r="K49" i="13"/>
  <c r="J49" i="13"/>
  <c r="I49" i="13"/>
  <c r="H49" i="13"/>
  <c r="G49" i="13"/>
  <c r="E49" i="13"/>
  <c r="Q48" i="13"/>
  <c r="Q47" i="13"/>
  <c r="Q42" i="13"/>
  <c r="H41" i="13"/>
  <c r="H40" i="13" s="1"/>
  <c r="N40" i="13"/>
  <c r="M40" i="13"/>
  <c r="L40" i="13"/>
  <c r="K40" i="13"/>
  <c r="J40" i="13"/>
  <c r="I40" i="13"/>
  <c r="G40" i="13"/>
  <c r="F40" i="13"/>
  <c r="E40" i="13"/>
  <c r="Q36" i="13"/>
  <c r="Q35" i="13"/>
  <c r="Q34" i="13"/>
  <c r="P30" i="13"/>
  <c r="N30" i="13"/>
  <c r="M30" i="13"/>
  <c r="L30" i="13"/>
  <c r="K30" i="13"/>
  <c r="I30" i="13"/>
  <c r="H30" i="13"/>
  <c r="G30" i="13"/>
  <c r="F30" i="13"/>
  <c r="E30" i="13"/>
  <c r="Q29" i="13"/>
  <c r="Q28" i="13"/>
  <c r="Q27" i="13"/>
  <c r="Q26" i="13"/>
  <c r="Q25" i="13"/>
  <c r="Q23" i="13"/>
  <c r="Q22" i="13"/>
  <c r="N20" i="13"/>
  <c r="M20" i="13"/>
  <c r="L20" i="13"/>
  <c r="K20" i="13"/>
  <c r="J20" i="13"/>
  <c r="I20" i="13"/>
  <c r="H20" i="13"/>
  <c r="G20" i="13"/>
  <c r="F20" i="13"/>
  <c r="E20" i="13"/>
  <c r="Q17" i="13"/>
  <c r="Q16" i="13"/>
  <c r="N14" i="13"/>
  <c r="M14" i="13"/>
  <c r="L14" i="13"/>
  <c r="K14" i="13"/>
  <c r="J14" i="13"/>
  <c r="I14" i="13"/>
  <c r="H14" i="13"/>
  <c r="G14" i="13"/>
  <c r="F14" i="13"/>
  <c r="E14" i="13"/>
  <c r="Q87" i="12"/>
  <c r="N85" i="12"/>
  <c r="Q81" i="12"/>
  <c r="N78" i="12"/>
  <c r="Q76" i="12"/>
  <c r="Q73" i="12"/>
  <c r="Q70" i="12"/>
  <c r="Q51" i="12"/>
  <c r="Q56" i="12"/>
  <c r="Q50" i="12"/>
  <c r="Q43" i="12"/>
  <c r="Q44" i="12"/>
  <c r="Q46" i="12"/>
  <c r="N40" i="12"/>
  <c r="Q38" i="12"/>
  <c r="Q31" i="12"/>
  <c r="Q26" i="12"/>
  <c r="Q27" i="12"/>
  <c r="Q28" i="12"/>
  <c r="Q29" i="12"/>
  <c r="N14" i="12"/>
  <c r="Q18" i="12"/>
  <c r="Q19" i="12"/>
  <c r="M91" i="12"/>
  <c r="N91" i="12"/>
  <c r="O91" i="12"/>
  <c r="P91" i="12"/>
  <c r="N49" i="12"/>
  <c r="N20" i="12"/>
  <c r="Q15" i="12"/>
  <c r="P93" i="12"/>
  <c r="O93" i="12"/>
  <c r="Q92" i="12"/>
  <c r="L91" i="12"/>
  <c r="K91" i="12"/>
  <c r="J91" i="12"/>
  <c r="I91" i="12"/>
  <c r="H91" i="12"/>
  <c r="G91" i="12"/>
  <c r="F91" i="12"/>
  <c r="E91" i="12"/>
  <c r="Q90" i="12"/>
  <c r="Q89" i="12"/>
  <c r="P88" i="12"/>
  <c r="O88" i="12"/>
  <c r="N88" i="12"/>
  <c r="M88" i="12"/>
  <c r="L88" i="12"/>
  <c r="K88" i="12"/>
  <c r="J88" i="12"/>
  <c r="I88" i="12"/>
  <c r="I84" i="12" s="1"/>
  <c r="H88" i="12"/>
  <c r="G88" i="12"/>
  <c r="F88" i="12"/>
  <c r="E88" i="12"/>
  <c r="Q86" i="12"/>
  <c r="M85" i="12"/>
  <c r="L85" i="12"/>
  <c r="L84" i="12" s="1"/>
  <c r="K85" i="12"/>
  <c r="J85" i="12"/>
  <c r="I85" i="12"/>
  <c r="H85" i="12"/>
  <c r="H84" i="12" s="1"/>
  <c r="G85" i="12"/>
  <c r="G84" i="12" s="1"/>
  <c r="F85" i="12"/>
  <c r="E85" i="12"/>
  <c r="K84" i="12"/>
  <c r="F84" i="12"/>
  <c r="Q83" i="12"/>
  <c r="Q82" i="12"/>
  <c r="Q80" i="12"/>
  <c r="M78" i="12"/>
  <c r="L78" i="12"/>
  <c r="K78" i="12"/>
  <c r="J78" i="12"/>
  <c r="I78" i="12"/>
  <c r="H78" i="12"/>
  <c r="G78" i="12"/>
  <c r="F78" i="12"/>
  <c r="E78" i="12"/>
  <c r="Q77" i="12"/>
  <c r="Q75" i="12"/>
  <c r="Q74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Q71" i="12"/>
  <c r="F69" i="12"/>
  <c r="E69" i="12"/>
  <c r="F68" i="12"/>
  <c r="E68" i="12"/>
  <c r="M67" i="12"/>
  <c r="L67" i="12"/>
  <c r="K67" i="12"/>
  <c r="J67" i="12"/>
  <c r="I67" i="12"/>
  <c r="H67" i="12"/>
  <c r="G67" i="12"/>
  <c r="F66" i="12"/>
  <c r="Q66" i="12" s="1"/>
  <c r="F65" i="12"/>
  <c r="Q64" i="12"/>
  <c r="F63" i="12"/>
  <c r="Q63" i="12" s="1"/>
  <c r="F62" i="12"/>
  <c r="F61" i="12"/>
  <c r="F60" i="12"/>
  <c r="Q60" i="12" s="1"/>
  <c r="F59" i="12"/>
  <c r="Q59" i="12" s="1"/>
  <c r="F58" i="12"/>
  <c r="P57" i="12"/>
  <c r="O57" i="12"/>
  <c r="M57" i="12"/>
  <c r="L57" i="12"/>
  <c r="K57" i="12"/>
  <c r="J57" i="12"/>
  <c r="I57" i="12"/>
  <c r="H57" i="12"/>
  <c r="G57" i="12"/>
  <c r="E57" i="12"/>
  <c r="Q55" i="12"/>
  <c r="Q54" i="12"/>
  <c r="F53" i="12"/>
  <c r="Q52" i="12"/>
  <c r="M49" i="12"/>
  <c r="L49" i="12"/>
  <c r="K49" i="12"/>
  <c r="J49" i="12"/>
  <c r="I49" i="12"/>
  <c r="H49" i="12"/>
  <c r="G49" i="12"/>
  <c r="E49" i="12"/>
  <c r="Q48" i="12"/>
  <c r="Q47" i="12"/>
  <c r="Q45" i="12"/>
  <c r="Q42" i="12"/>
  <c r="H41" i="12"/>
  <c r="H40" i="12" s="1"/>
  <c r="M40" i="12"/>
  <c r="L40" i="12"/>
  <c r="K40" i="12"/>
  <c r="J40" i="12"/>
  <c r="I40" i="12"/>
  <c r="G40" i="12"/>
  <c r="F40" i="12"/>
  <c r="E40" i="12"/>
  <c r="Q39" i="12"/>
  <c r="Q37" i="12"/>
  <c r="Q36" i="12"/>
  <c r="Q35" i="12"/>
  <c r="Q34" i="12"/>
  <c r="Q33" i="12"/>
  <c r="Q32" i="12"/>
  <c r="P30" i="12"/>
  <c r="O30" i="12"/>
  <c r="M30" i="12"/>
  <c r="L30" i="12"/>
  <c r="K30" i="12"/>
  <c r="J30" i="12"/>
  <c r="I30" i="12"/>
  <c r="H30" i="12"/>
  <c r="G30" i="12"/>
  <c r="F30" i="12"/>
  <c r="E30" i="12"/>
  <c r="Q25" i="12"/>
  <c r="Q24" i="12"/>
  <c r="Q23" i="12"/>
  <c r="Q22" i="12"/>
  <c r="Q21" i="12"/>
  <c r="M20" i="12"/>
  <c r="L20" i="12"/>
  <c r="K20" i="12"/>
  <c r="J20" i="12"/>
  <c r="I20" i="12"/>
  <c r="H20" i="12"/>
  <c r="G20" i="12"/>
  <c r="F20" i="12"/>
  <c r="E20" i="12"/>
  <c r="Q16" i="12"/>
  <c r="M14" i="12"/>
  <c r="L14" i="12"/>
  <c r="K14" i="12"/>
  <c r="J14" i="12"/>
  <c r="I14" i="12"/>
  <c r="I13" i="12" s="1"/>
  <c r="I93" i="12" s="1"/>
  <c r="H14" i="12"/>
  <c r="G14" i="12"/>
  <c r="F14" i="12"/>
  <c r="E14" i="12"/>
  <c r="M88" i="11"/>
  <c r="M85" i="11"/>
  <c r="M84" i="11" s="1"/>
  <c r="M78" i="11"/>
  <c r="M72" i="11"/>
  <c r="M67" i="11"/>
  <c r="M57" i="11"/>
  <c r="M49" i="11"/>
  <c r="M40" i="11"/>
  <c r="M30" i="11"/>
  <c r="M20" i="11"/>
  <c r="M14" i="11"/>
  <c r="Q90" i="11"/>
  <c r="Q87" i="11"/>
  <c r="Q86" i="11"/>
  <c r="Q83" i="11"/>
  <c r="Q82" i="11"/>
  <c r="Q81" i="11"/>
  <c r="Q80" i="11"/>
  <c r="Q79" i="11"/>
  <c r="Q76" i="11"/>
  <c r="Q75" i="11"/>
  <c r="Q74" i="11"/>
  <c r="Q73" i="11"/>
  <c r="Q71" i="11"/>
  <c r="Q70" i="11"/>
  <c r="Q55" i="11"/>
  <c r="Q52" i="11"/>
  <c r="Q42" i="11"/>
  <c r="Q38" i="11"/>
  <c r="Q36" i="11"/>
  <c r="Q34" i="11"/>
  <c r="Q33" i="11"/>
  <c r="Q29" i="11"/>
  <c r="Q28" i="11"/>
  <c r="Q27" i="11"/>
  <c r="Q22" i="11"/>
  <c r="Q21" i="11"/>
  <c r="Q17" i="11"/>
  <c r="Q18" i="11"/>
  <c r="Q19" i="11"/>
  <c r="L30" i="11"/>
  <c r="Q26" i="11"/>
  <c r="L67" i="11"/>
  <c r="L57" i="11"/>
  <c r="Q54" i="11"/>
  <c r="Q23" i="11"/>
  <c r="Q16" i="11"/>
  <c r="P93" i="11"/>
  <c r="O93" i="11"/>
  <c r="N93" i="11"/>
  <c r="Q92" i="11"/>
  <c r="L91" i="11"/>
  <c r="K91" i="11"/>
  <c r="J91" i="11"/>
  <c r="I91" i="11"/>
  <c r="H91" i="11"/>
  <c r="G91" i="11"/>
  <c r="F91" i="11"/>
  <c r="E91" i="11"/>
  <c r="P88" i="11"/>
  <c r="O88" i="11"/>
  <c r="N88" i="11"/>
  <c r="L88" i="11"/>
  <c r="K88" i="11"/>
  <c r="J88" i="11"/>
  <c r="I88" i="11"/>
  <c r="H88" i="11"/>
  <c r="G88" i="11"/>
  <c r="F88" i="11"/>
  <c r="F84" i="11" s="1"/>
  <c r="E88" i="11"/>
  <c r="K85" i="11"/>
  <c r="J85" i="11"/>
  <c r="I85" i="11"/>
  <c r="I84" i="11" s="1"/>
  <c r="H85" i="11"/>
  <c r="G85" i="11"/>
  <c r="G84" i="11" s="1"/>
  <c r="F85" i="11"/>
  <c r="E85" i="11"/>
  <c r="L78" i="11"/>
  <c r="K78" i="11"/>
  <c r="J78" i="11"/>
  <c r="I78" i="11"/>
  <c r="H78" i="11"/>
  <c r="G78" i="11"/>
  <c r="F78" i="11"/>
  <c r="E78" i="11"/>
  <c r="Q77" i="11"/>
  <c r="P72" i="11"/>
  <c r="O72" i="11"/>
  <c r="N72" i="11"/>
  <c r="K72" i="11"/>
  <c r="J72" i="11"/>
  <c r="I72" i="11"/>
  <c r="H72" i="11"/>
  <c r="G72" i="11"/>
  <c r="F72" i="11"/>
  <c r="E72" i="11"/>
  <c r="F69" i="11"/>
  <c r="E69" i="11"/>
  <c r="F68" i="11"/>
  <c r="E68" i="11"/>
  <c r="K67" i="11"/>
  <c r="J67" i="11"/>
  <c r="I67" i="11"/>
  <c r="H67" i="11"/>
  <c r="G67" i="11"/>
  <c r="F66" i="11"/>
  <c r="Q66" i="11" s="1"/>
  <c r="F65" i="11"/>
  <c r="Q64" i="11"/>
  <c r="F63" i="11"/>
  <c r="Q63" i="11" s="1"/>
  <c r="F62" i="11"/>
  <c r="Q62" i="11" s="1"/>
  <c r="F61" i="11"/>
  <c r="Q61" i="11" s="1"/>
  <c r="F60" i="11"/>
  <c r="Q60" i="11" s="1"/>
  <c r="F59" i="11"/>
  <c r="Q59" i="11" s="1"/>
  <c r="F58" i="11"/>
  <c r="P57" i="11"/>
  <c r="O57" i="11"/>
  <c r="N57" i="11"/>
  <c r="K57" i="11"/>
  <c r="J57" i="11"/>
  <c r="I57" i="11"/>
  <c r="H57" i="11"/>
  <c r="G57" i="11"/>
  <c r="E57" i="11"/>
  <c r="Q56" i="11"/>
  <c r="F53" i="11"/>
  <c r="Q53" i="11" s="1"/>
  <c r="Q51" i="11"/>
  <c r="Q50" i="11"/>
  <c r="L49" i="11"/>
  <c r="K49" i="11"/>
  <c r="J49" i="11"/>
  <c r="I49" i="11"/>
  <c r="H49" i="11"/>
  <c r="G49" i="11"/>
  <c r="E49" i="11"/>
  <c r="Q48" i="11"/>
  <c r="Q47" i="11"/>
  <c r="Q46" i="11"/>
  <c r="Q45" i="11"/>
  <c r="Q44" i="11"/>
  <c r="Q43" i="11"/>
  <c r="H41" i="11"/>
  <c r="H40" i="11" s="1"/>
  <c r="L40" i="11"/>
  <c r="K40" i="11"/>
  <c r="J40" i="11"/>
  <c r="I40" i="11"/>
  <c r="G40" i="11"/>
  <c r="G13" i="11" s="1"/>
  <c r="G93" i="11" s="1"/>
  <c r="F40" i="11"/>
  <c r="E40" i="11"/>
  <c r="Q39" i="11"/>
  <c r="Q35" i="11"/>
  <c r="Q32" i="11"/>
  <c r="Q31" i="11"/>
  <c r="P30" i="11"/>
  <c r="O30" i="11"/>
  <c r="N30" i="11"/>
  <c r="K30" i="11"/>
  <c r="J30" i="11"/>
  <c r="I30" i="11"/>
  <c r="H30" i="11"/>
  <c r="G30" i="11"/>
  <c r="F30" i="11"/>
  <c r="E30" i="11"/>
  <c r="Q25" i="11"/>
  <c r="Q24" i="11"/>
  <c r="K20" i="11"/>
  <c r="J20" i="11"/>
  <c r="I20" i="11"/>
  <c r="H20" i="11"/>
  <c r="G20" i="11"/>
  <c r="F20" i="11"/>
  <c r="E20" i="11"/>
  <c r="K14" i="11"/>
  <c r="J14" i="11"/>
  <c r="I14" i="11"/>
  <c r="H14" i="11"/>
  <c r="G14" i="11"/>
  <c r="F14" i="11"/>
  <c r="E14" i="11"/>
  <c r="K30" i="10"/>
  <c r="L69" i="10"/>
  <c r="L68" i="10"/>
  <c r="L66" i="10"/>
  <c r="L65" i="10"/>
  <c r="Q64" i="10"/>
  <c r="L63" i="10"/>
  <c r="L62" i="10"/>
  <c r="L61" i="10"/>
  <c r="L60" i="10"/>
  <c r="L59" i="10"/>
  <c r="L58" i="10"/>
  <c r="Q48" i="10"/>
  <c r="Q47" i="10"/>
  <c r="Q46" i="10"/>
  <c r="Q42" i="10"/>
  <c r="L41" i="10"/>
  <c r="L40" i="10" s="1"/>
  <c r="L39" i="10"/>
  <c r="Q39" i="10" s="1"/>
  <c r="L37" i="10"/>
  <c r="Q37" i="10" s="1"/>
  <c r="L36" i="10"/>
  <c r="Q36" i="10" s="1"/>
  <c r="L35" i="10"/>
  <c r="Q35" i="10" s="1"/>
  <c r="L34" i="10"/>
  <c r="Q34" i="10" s="1"/>
  <c r="L33" i="10"/>
  <c r="Q33" i="10" s="1"/>
  <c r="L32" i="10"/>
  <c r="Q32" i="10" s="1"/>
  <c r="L31" i="10"/>
  <c r="Q31" i="10" s="1"/>
  <c r="L22" i="10"/>
  <c r="Q22" i="10" s="1"/>
  <c r="L23" i="10"/>
  <c r="L24" i="10"/>
  <c r="Q24" i="10" s="1"/>
  <c r="L25" i="10"/>
  <c r="Q25" i="10" s="1"/>
  <c r="L26" i="10"/>
  <c r="Q26" i="10" s="1"/>
  <c r="L27" i="10"/>
  <c r="Q27" i="10" s="1"/>
  <c r="L28" i="10"/>
  <c r="Q28" i="10" s="1"/>
  <c r="L29" i="10"/>
  <c r="Q29" i="10" s="1"/>
  <c r="L21" i="10"/>
  <c r="Q21" i="10" s="1"/>
  <c r="L16" i="10"/>
  <c r="Q16" i="10" s="1"/>
  <c r="L17" i="10"/>
  <c r="Q17" i="10" s="1"/>
  <c r="Q18" i="10"/>
  <c r="L19" i="10"/>
  <c r="Q19" i="10" s="1"/>
  <c r="L15" i="10"/>
  <c r="I91" i="10"/>
  <c r="J91" i="10"/>
  <c r="K91" i="10"/>
  <c r="L91" i="10"/>
  <c r="I88" i="10"/>
  <c r="J88" i="10"/>
  <c r="K88" i="10"/>
  <c r="L88" i="10"/>
  <c r="M88" i="10"/>
  <c r="N88" i="10"/>
  <c r="O88" i="10"/>
  <c r="P88" i="10"/>
  <c r="I85" i="10"/>
  <c r="I84" i="10" s="1"/>
  <c r="J85" i="10"/>
  <c r="K85" i="10"/>
  <c r="L85" i="10"/>
  <c r="I78" i="10"/>
  <c r="J78" i="10"/>
  <c r="K78" i="10"/>
  <c r="L78" i="10"/>
  <c r="I72" i="10"/>
  <c r="J72" i="10"/>
  <c r="K72" i="10"/>
  <c r="L72" i="10"/>
  <c r="M72" i="10"/>
  <c r="N72" i="10"/>
  <c r="O72" i="10"/>
  <c r="P72" i="10"/>
  <c r="M57" i="10"/>
  <c r="N57" i="10"/>
  <c r="O57" i="10"/>
  <c r="P57" i="10"/>
  <c r="L49" i="10"/>
  <c r="M30" i="10"/>
  <c r="N30" i="10"/>
  <c r="O30" i="10"/>
  <c r="P30" i="10"/>
  <c r="P93" i="10"/>
  <c r="O93" i="10"/>
  <c r="N93" i="10"/>
  <c r="M93" i="10"/>
  <c r="Q92" i="10"/>
  <c r="H91" i="10"/>
  <c r="G91" i="10"/>
  <c r="F91" i="10"/>
  <c r="E91" i="10"/>
  <c r="Q90" i="10"/>
  <c r="Q89" i="10"/>
  <c r="H88" i="10"/>
  <c r="G88" i="10"/>
  <c r="F88" i="10"/>
  <c r="E88" i="10"/>
  <c r="Q87" i="10"/>
  <c r="Q86" i="10"/>
  <c r="H85" i="10"/>
  <c r="H84" i="10" s="1"/>
  <c r="G85" i="10"/>
  <c r="G84" i="10" s="1"/>
  <c r="F85" i="10"/>
  <c r="E85" i="10"/>
  <c r="E84" i="10" s="1"/>
  <c r="F84" i="10"/>
  <c r="Q83" i="10"/>
  <c r="Q82" i="10"/>
  <c r="Q81" i="10"/>
  <c r="Q80" i="10"/>
  <c r="Q79" i="10"/>
  <c r="H78" i="10"/>
  <c r="G78" i="10"/>
  <c r="F78" i="10"/>
  <c r="E78" i="10"/>
  <c r="Q77" i="10"/>
  <c r="Q76" i="10"/>
  <c r="Q75" i="10"/>
  <c r="Q74" i="10"/>
  <c r="Q73" i="10"/>
  <c r="H72" i="10"/>
  <c r="G72" i="10"/>
  <c r="F72" i="10"/>
  <c r="E72" i="10"/>
  <c r="Q72" i="10" s="1"/>
  <c r="Q71" i="10"/>
  <c r="Q70" i="10"/>
  <c r="F69" i="10"/>
  <c r="E69" i="10"/>
  <c r="F68" i="10"/>
  <c r="E68" i="10"/>
  <c r="K67" i="10"/>
  <c r="J67" i="10"/>
  <c r="I67" i="10"/>
  <c r="H67" i="10"/>
  <c r="G67" i="10"/>
  <c r="F66" i="10"/>
  <c r="F65" i="10"/>
  <c r="F63" i="10"/>
  <c r="F62" i="10"/>
  <c r="F61" i="10"/>
  <c r="F60" i="10"/>
  <c r="F59" i="10"/>
  <c r="Q59" i="10" s="1"/>
  <c r="F58" i="10"/>
  <c r="K57" i="10"/>
  <c r="J57" i="10"/>
  <c r="I57" i="10"/>
  <c r="H57" i="10"/>
  <c r="G57" i="10"/>
  <c r="E57" i="10"/>
  <c r="Q56" i="10"/>
  <c r="Q55" i="10"/>
  <c r="Q54" i="10"/>
  <c r="F53" i="10"/>
  <c r="Q53" i="10" s="1"/>
  <c r="Q52" i="10"/>
  <c r="Q51" i="10"/>
  <c r="Q50" i="10"/>
  <c r="K49" i="10"/>
  <c r="J49" i="10"/>
  <c r="I49" i="10"/>
  <c r="H49" i="10"/>
  <c r="G49" i="10"/>
  <c r="G13" i="10" s="1"/>
  <c r="G93" i="10" s="1"/>
  <c r="E49" i="10"/>
  <c r="Q45" i="10"/>
  <c r="Q44" i="10"/>
  <c r="Q43" i="10"/>
  <c r="H41" i="10"/>
  <c r="H40" i="10" s="1"/>
  <c r="K40" i="10"/>
  <c r="J40" i="10"/>
  <c r="I40" i="10"/>
  <c r="G40" i="10"/>
  <c r="F40" i="10"/>
  <c r="E40" i="10"/>
  <c r="Q38" i="10"/>
  <c r="J30" i="10"/>
  <c r="I30" i="10"/>
  <c r="H30" i="10"/>
  <c r="G30" i="10"/>
  <c r="F30" i="10"/>
  <c r="E30" i="10"/>
  <c r="K20" i="10"/>
  <c r="J20" i="10"/>
  <c r="I20" i="10"/>
  <c r="H20" i="10"/>
  <c r="G20" i="10"/>
  <c r="F20" i="10"/>
  <c r="E20" i="10"/>
  <c r="K14" i="10"/>
  <c r="J14" i="10"/>
  <c r="I14" i="10"/>
  <c r="H14" i="10"/>
  <c r="G14" i="10"/>
  <c r="F14" i="10"/>
  <c r="E14" i="10"/>
  <c r="Q89" i="9"/>
  <c r="Q86" i="9"/>
  <c r="Q81" i="9"/>
  <c r="Q80" i="9"/>
  <c r="Q74" i="9"/>
  <c r="Q75" i="9"/>
  <c r="Q76" i="9"/>
  <c r="Q77" i="9"/>
  <c r="Q73" i="9"/>
  <c r="Q70" i="9"/>
  <c r="Q51" i="9"/>
  <c r="Q54" i="9"/>
  <c r="Q56" i="9"/>
  <c r="Q50" i="9"/>
  <c r="Q42" i="9"/>
  <c r="Q44" i="9"/>
  <c r="Q45" i="9"/>
  <c r="K40" i="9"/>
  <c r="Q32" i="9"/>
  <c r="Q36" i="9"/>
  <c r="Q38" i="9"/>
  <c r="Q31" i="9"/>
  <c r="Q23" i="9"/>
  <c r="Q26" i="9"/>
  <c r="Q28" i="9"/>
  <c r="Q29" i="9"/>
  <c r="Q21" i="9"/>
  <c r="Q18" i="9"/>
  <c r="Q16" i="9"/>
  <c r="Q17" i="9"/>
  <c r="Q15" i="9"/>
  <c r="P93" i="9"/>
  <c r="O93" i="9"/>
  <c r="N93" i="9"/>
  <c r="M93" i="9"/>
  <c r="L93" i="9"/>
  <c r="Q92" i="9"/>
  <c r="H91" i="9"/>
  <c r="G91" i="9"/>
  <c r="F91" i="9"/>
  <c r="E91" i="9"/>
  <c r="Q90" i="9"/>
  <c r="H88" i="9"/>
  <c r="G88" i="9"/>
  <c r="F88" i="9"/>
  <c r="F84" i="9" s="1"/>
  <c r="E88" i="9"/>
  <c r="Q87" i="9"/>
  <c r="Q85" i="9"/>
  <c r="H85" i="9"/>
  <c r="G85" i="9"/>
  <c r="F85" i="9"/>
  <c r="E85" i="9"/>
  <c r="H84" i="9"/>
  <c r="Q83" i="9"/>
  <c r="Q82" i="9"/>
  <c r="Q79" i="9"/>
  <c r="H78" i="9"/>
  <c r="G78" i="9"/>
  <c r="F78" i="9"/>
  <c r="Q78" i="9" s="1"/>
  <c r="E78" i="9"/>
  <c r="H72" i="9"/>
  <c r="G72" i="9"/>
  <c r="F72" i="9"/>
  <c r="E72" i="9"/>
  <c r="Q72" i="9" s="1"/>
  <c r="Q71" i="9"/>
  <c r="F69" i="9"/>
  <c r="E69" i="9"/>
  <c r="F68" i="9"/>
  <c r="E68" i="9"/>
  <c r="J67" i="9"/>
  <c r="H67" i="9"/>
  <c r="G67" i="9"/>
  <c r="F66" i="9"/>
  <c r="F65" i="9"/>
  <c r="Q65" i="9" s="1"/>
  <c r="Q64" i="9"/>
  <c r="F63" i="9"/>
  <c r="Q63" i="9" s="1"/>
  <c r="F62" i="9"/>
  <c r="F61" i="9"/>
  <c r="Q61" i="9" s="1"/>
  <c r="F60" i="9"/>
  <c r="F59" i="9"/>
  <c r="Q59" i="9" s="1"/>
  <c r="F58" i="9"/>
  <c r="J57" i="9"/>
  <c r="I57" i="9"/>
  <c r="H57" i="9"/>
  <c r="G57" i="9"/>
  <c r="E57" i="9"/>
  <c r="Q55" i="9"/>
  <c r="F53" i="9"/>
  <c r="F49" i="9" s="1"/>
  <c r="Q52" i="9"/>
  <c r="J49" i="9"/>
  <c r="I49" i="9"/>
  <c r="H49" i="9"/>
  <c r="G49" i="9"/>
  <c r="E49" i="9"/>
  <c r="Q48" i="9"/>
  <c r="Q47" i="9"/>
  <c r="Q46" i="9"/>
  <c r="Q43" i="9"/>
  <c r="H41" i="9"/>
  <c r="H40" i="9" s="1"/>
  <c r="J40" i="9"/>
  <c r="I40" i="9"/>
  <c r="G40" i="9"/>
  <c r="F40" i="9"/>
  <c r="E40" i="9"/>
  <c r="Q39" i="9"/>
  <c r="Q37" i="9"/>
  <c r="Q35" i="9"/>
  <c r="Q34" i="9"/>
  <c r="Q33" i="9"/>
  <c r="J30" i="9"/>
  <c r="I30" i="9"/>
  <c r="H30" i="9"/>
  <c r="G30" i="9"/>
  <c r="F30" i="9"/>
  <c r="E30" i="9"/>
  <c r="Q27" i="9"/>
  <c r="Q25" i="9"/>
  <c r="Q24" i="9"/>
  <c r="Q22" i="9"/>
  <c r="J20" i="9"/>
  <c r="I20" i="9"/>
  <c r="H20" i="9"/>
  <c r="G20" i="9"/>
  <c r="F20" i="9"/>
  <c r="E20" i="9"/>
  <c r="Q19" i="9"/>
  <c r="J14" i="9"/>
  <c r="I14" i="9"/>
  <c r="H14" i="9"/>
  <c r="G14" i="9"/>
  <c r="G13" i="9" s="1"/>
  <c r="G93" i="9" s="1"/>
  <c r="F14" i="9"/>
  <c r="E14" i="9"/>
  <c r="Q64" i="8"/>
  <c r="Q33" i="8"/>
  <c r="Q34" i="8"/>
  <c r="Q37" i="8"/>
  <c r="Q39" i="8"/>
  <c r="Q26" i="8"/>
  <c r="Q25" i="8"/>
  <c r="Q24" i="8"/>
  <c r="Q23" i="8"/>
  <c r="Q22" i="8"/>
  <c r="J67" i="8"/>
  <c r="J49" i="8"/>
  <c r="J40" i="8"/>
  <c r="J14" i="8"/>
  <c r="Q17" i="8"/>
  <c r="Q18" i="8"/>
  <c r="Q19" i="8"/>
  <c r="Q15" i="8"/>
  <c r="P93" i="8"/>
  <c r="O93" i="8"/>
  <c r="N93" i="8"/>
  <c r="M93" i="8"/>
  <c r="L93" i="8"/>
  <c r="K93" i="8"/>
  <c r="Q92" i="8"/>
  <c r="H91" i="8"/>
  <c r="G91" i="8"/>
  <c r="F91" i="8"/>
  <c r="E91" i="8"/>
  <c r="Q91" i="8" s="1"/>
  <c r="Q90" i="8"/>
  <c r="Q89" i="8"/>
  <c r="H88" i="8"/>
  <c r="G88" i="8"/>
  <c r="F88" i="8"/>
  <c r="E88" i="8"/>
  <c r="Q88" i="8" s="1"/>
  <c r="Q87" i="8"/>
  <c r="Q86" i="8"/>
  <c r="H85" i="8"/>
  <c r="G85" i="8"/>
  <c r="F85" i="8"/>
  <c r="F84" i="8" s="1"/>
  <c r="E85" i="8"/>
  <c r="Q85" i="8" s="1"/>
  <c r="H84" i="8"/>
  <c r="G84" i="8"/>
  <c r="E84" i="8"/>
  <c r="Q83" i="8"/>
  <c r="Q82" i="8"/>
  <c r="Q81" i="8"/>
  <c r="Q80" i="8"/>
  <c r="Q79" i="8"/>
  <c r="Q78" i="8"/>
  <c r="H78" i="8"/>
  <c r="G78" i="8"/>
  <c r="F78" i="8"/>
  <c r="E78" i="8"/>
  <c r="Q77" i="8"/>
  <c r="Q76" i="8"/>
  <c r="Q75" i="8"/>
  <c r="Q74" i="8"/>
  <c r="Q73" i="8"/>
  <c r="H72" i="8"/>
  <c r="G72" i="8"/>
  <c r="F72" i="8"/>
  <c r="E72" i="8"/>
  <c r="Q72" i="8" s="1"/>
  <c r="Q71" i="8"/>
  <c r="Q70" i="8"/>
  <c r="F69" i="8"/>
  <c r="E69" i="8"/>
  <c r="F68" i="8"/>
  <c r="E68" i="8"/>
  <c r="I67" i="8"/>
  <c r="H67" i="8"/>
  <c r="G67" i="8"/>
  <c r="F66" i="8"/>
  <c r="Q66" i="8" s="1"/>
  <c r="F65" i="8"/>
  <c r="Q65" i="8" s="1"/>
  <c r="F63" i="8"/>
  <c r="Q63" i="8" s="1"/>
  <c r="F62" i="8"/>
  <c r="Q62" i="8" s="1"/>
  <c r="F61" i="8"/>
  <c r="Q61" i="8" s="1"/>
  <c r="F60" i="8"/>
  <c r="Q60" i="8" s="1"/>
  <c r="F59" i="8"/>
  <c r="Q59" i="8" s="1"/>
  <c r="F58" i="8"/>
  <c r="Q58" i="8" s="1"/>
  <c r="I57" i="8"/>
  <c r="H57" i="8"/>
  <c r="G57" i="8"/>
  <c r="E57" i="8"/>
  <c r="Q56" i="8"/>
  <c r="Q55" i="8"/>
  <c r="Q54" i="8"/>
  <c r="F53" i="8"/>
  <c r="F49" i="8" s="1"/>
  <c r="Q52" i="8"/>
  <c r="Q51" i="8"/>
  <c r="Q50" i="8"/>
  <c r="I49" i="8"/>
  <c r="H49" i="8"/>
  <c r="G49" i="8"/>
  <c r="E49" i="8"/>
  <c r="Q48" i="8"/>
  <c r="Q47" i="8"/>
  <c r="Q46" i="8"/>
  <c r="Q45" i="8"/>
  <c r="Q44" i="8"/>
  <c r="Q43" i="8"/>
  <c r="Q42" i="8"/>
  <c r="H41" i="8"/>
  <c r="Q41" i="8" s="1"/>
  <c r="I40" i="8"/>
  <c r="G40" i="8"/>
  <c r="F40" i="8"/>
  <c r="E40" i="8"/>
  <c r="Q38" i="8"/>
  <c r="Q36" i="8"/>
  <c r="I30" i="8"/>
  <c r="Q32" i="8"/>
  <c r="H30" i="8"/>
  <c r="G30" i="8"/>
  <c r="F30" i="8"/>
  <c r="E30" i="8"/>
  <c r="Q29" i="8"/>
  <c r="Q28" i="8"/>
  <c r="Q27" i="8"/>
  <c r="I20" i="8"/>
  <c r="H20" i="8"/>
  <c r="G20" i="8"/>
  <c r="F20" i="8"/>
  <c r="E20" i="8"/>
  <c r="Q16" i="8"/>
  <c r="I14" i="8"/>
  <c r="H14" i="8"/>
  <c r="F14" i="8"/>
  <c r="E14" i="8"/>
  <c r="I49" i="7"/>
  <c r="I40" i="7"/>
  <c r="I67" i="7"/>
  <c r="I57" i="7"/>
  <c r="I39" i="7"/>
  <c r="Q39" i="7" s="1"/>
  <c r="I36" i="7"/>
  <c r="Q36" i="7" s="1"/>
  <c r="I37" i="7"/>
  <c r="Q37" i="7" s="1"/>
  <c r="Q38" i="7"/>
  <c r="I35" i="7"/>
  <c r="Q35" i="7" s="1"/>
  <c r="I20" i="7"/>
  <c r="I14" i="7"/>
  <c r="P93" i="7"/>
  <c r="O93" i="7"/>
  <c r="N93" i="7"/>
  <c r="M93" i="7"/>
  <c r="L93" i="7"/>
  <c r="K93" i="7"/>
  <c r="J93" i="7"/>
  <c r="Q92" i="7"/>
  <c r="H91" i="7"/>
  <c r="G91" i="7"/>
  <c r="F91" i="7"/>
  <c r="E91" i="7"/>
  <c r="Q90" i="7"/>
  <c r="Q89" i="7"/>
  <c r="H88" i="7"/>
  <c r="G88" i="7"/>
  <c r="F88" i="7"/>
  <c r="E88" i="7"/>
  <c r="Q87" i="7"/>
  <c r="Q86" i="7"/>
  <c r="H85" i="7"/>
  <c r="H84" i="7" s="1"/>
  <c r="G85" i="7"/>
  <c r="F85" i="7"/>
  <c r="E85" i="7"/>
  <c r="Q83" i="7"/>
  <c r="Q82" i="7"/>
  <c r="Q81" i="7"/>
  <c r="Q80" i="7"/>
  <c r="Q79" i="7"/>
  <c r="H78" i="7"/>
  <c r="G78" i="7"/>
  <c r="F78" i="7"/>
  <c r="E78" i="7"/>
  <c r="Q77" i="7"/>
  <c r="Q76" i="7"/>
  <c r="Q75" i="7"/>
  <c r="Q74" i="7"/>
  <c r="Q73" i="7"/>
  <c r="H72" i="7"/>
  <c r="G72" i="7"/>
  <c r="F72" i="7"/>
  <c r="E72" i="7"/>
  <c r="Q71" i="7"/>
  <c r="Q70" i="7"/>
  <c r="F69" i="7"/>
  <c r="E69" i="7"/>
  <c r="F68" i="7"/>
  <c r="E68" i="7"/>
  <c r="H67" i="7"/>
  <c r="G67" i="7"/>
  <c r="F66" i="7"/>
  <c r="Q66" i="7" s="1"/>
  <c r="F65" i="7"/>
  <c r="Q65" i="7" s="1"/>
  <c r="Q64" i="7"/>
  <c r="F63" i="7"/>
  <c r="Q63" i="7" s="1"/>
  <c r="F62" i="7"/>
  <c r="Q62" i="7" s="1"/>
  <c r="F61" i="7"/>
  <c r="Q61" i="7" s="1"/>
  <c r="F60" i="7"/>
  <c r="Q60" i="7" s="1"/>
  <c r="F59" i="7"/>
  <c r="Q59" i="7" s="1"/>
  <c r="F58" i="7"/>
  <c r="Q58" i="7" s="1"/>
  <c r="H57" i="7"/>
  <c r="G57" i="7"/>
  <c r="E57" i="7"/>
  <c r="Q56" i="7"/>
  <c r="Q55" i="7"/>
  <c r="Q54" i="7"/>
  <c r="F53" i="7"/>
  <c r="Q53" i="7" s="1"/>
  <c r="Q52" i="7"/>
  <c r="Q51" i="7"/>
  <c r="Q50" i="7"/>
  <c r="H49" i="7"/>
  <c r="G49" i="7"/>
  <c r="E49" i="7"/>
  <c r="Q48" i="7"/>
  <c r="Q47" i="7"/>
  <c r="Q46" i="7"/>
  <c r="Q45" i="7"/>
  <c r="Q44" i="7"/>
  <c r="Q43" i="7"/>
  <c r="Q42" i="7"/>
  <c r="H41" i="7"/>
  <c r="H40" i="7" s="1"/>
  <c r="G40" i="7"/>
  <c r="F40" i="7"/>
  <c r="E40" i="7"/>
  <c r="Q34" i="7"/>
  <c r="Q33" i="7"/>
  <c r="Q32" i="7"/>
  <c r="Q31" i="7"/>
  <c r="H30" i="7"/>
  <c r="G30" i="7"/>
  <c r="F30" i="7"/>
  <c r="E30" i="7"/>
  <c r="Q29" i="7"/>
  <c r="Q28" i="7"/>
  <c r="Q27" i="7"/>
  <c r="Q26" i="7"/>
  <c r="Q25" i="7"/>
  <c r="Q24" i="7"/>
  <c r="Q23" i="7"/>
  <c r="Q22" i="7"/>
  <c r="Q21" i="7"/>
  <c r="H20" i="7"/>
  <c r="G20" i="7"/>
  <c r="F20" i="7"/>
  <c r="E20" i="7"/>
  <c r="Q19" i="7"/>
  <c r="Q18" i="7"/>
  <c r="Q17" i="7"/>
  <c r="Q16" i="7"/>
  <c r="Q15" i="7"/>
  <c r="H14" i="7"/>
  <c r="G14" i="7"/>
  <c r="F14" i="7"/>
  <c r="E14" i="7"/>
  <c r="P93" i="6"/>
  <c r="O93" i="6"/>
  <c r="N93" i="6"/>
  <c r="M93" i="6"/>
  <c r="L93" i="6"/>
  <c r="K93" i="6"/>
  <c r="J93" i="6"/>
  <c r="I93" i="6"/>
  <c r="Q92" i="6"/>
  <c r="H91" i="6"/>
  <c r="G91" i="6"/>
  <c r="F91" i="6"/>
  <c r="E91" i="6"/>
  <c r="Q90" i="6"/>
  <c r="Q89" i="6"/>
  <c r="H88" i="6"/>
  <c r="G88" i="6"/>
  <c r="F88" i="6"/>
  <c r="E88" i="6"/>
  <c r="Q87" i="6"/>
  <c r="Q86" i="6"/>
  <c r="H85" i="6"/>
  <c r="G85" i="6"/>
  <c r="F85" i="6"/>
  <c r="F84" i="6" s="1"/>
  <c r="E85" i="6"/>
  <c r="E84" i="6" s="1"/>
  <c r="Q83" i="6"/>
  <c r="Q82" i="6"/>
  <c r="Q81" i="6"/>
  <c r="Q80" i="6"/>
  <c r="Q79" i="6"/>
  <c r="H78" i="6"/>
  <c r="G78" i="6"/>
  <c r="F78" i="6"/>
  <c r="Q78" i="6" s="1"/>
  <c r="E78" i="6"/>
  <c r="Q77" i="6"/>
  <c r="Q76" i="6"/>
  <c r="Q75" i="6"/>
  <c r="Q74" i="6"/>
  <c r="Q73" i="6"/>
  <c r="H72" i="6"/>
  <c r="G72" i="6"/>
  <c r="F72" i="6"/>
  <c r="E72" i="6"/>
  <c r="Q72" i="6" s="1"/>
  <c r="Q71" i="6"/>
  <c r="Q70" i="6"/>
  <c r="F69" i="6"/>
  <c r="E69" i="6"/>
  <c r="H67" i="6"/>
  <c r="G67" i="6"/>
  <c r="F68" i="6"/>
  <c r="E68" i="6"/>
  <c r="F66" i="6"/>
  <c r="Q66" i="6" s="1"/>
  <c r="F65" i="6"/>
  <c r="Q65" i="6" s="1"/>
  <c r="Q64" i="6"/>
  <c r="F63" i="6"/>
  <c r="Q63" i="6" s="1"/>
  <c r="F62" i="6"/>
  <c r="Q62" i="6" s="1"/>
  <c r="F61" i="6"/>
  <c r="Q61" i="6" s="1"/>
  <c r="F60" i="6"/>
  <c r="Q60" i="6" s="1"/>
  <c r="F59" i="6"/>
  <c r="H57" i="6"/>
  <c r="G57" i="6"/>
  <c r="F58" i="6"/>
  <c r="E57" i="6"/>
  <c r="Q56" i="6"/>
  <c r="Q55" i="6"/>
  <c r="Q54" i="6"/>
  <c r="H49" i="6"/>
  <c r="G49" i="6"/>
  <c r="F53" i="6"/>
  <c r="Q53" i="6" s="1"/>
  <c r="Q52" i="6"/>
  <c r="Q51" i="6"/>
  <c r="Q50" i="6"/>
  <c r="E49" i="6"/>
  <c r="Q48" i="6"/>
  <c r="Q47" i="6"/>
  <c r="Q46" i="6"/>
  <c r="Q45" i="6"/>
  <c r="Q44" i="6"/>
  <c r="Q43" i="6"/>
  <c r="Q42" i="6"/>
  <c r="H41" i="6"/>
  <c r="Q41" i="6" s="1"/>
  <c r="G40" i="6"/>
  <c r="F40" i="6"/>
  <c r="E40" i="6"/>
  <c r="Q39" i="6"/>
  <c r="Q38" i="6"/>
  <c r="Q37" i="6"/>
  <c r="Q36" i="6"/>
  <c r="Q35" i="6"/>
  <c r="Q34" i="6"/>
  <c r="H30" i="6"/>
  <c r="Q32" i="6"/>
  <c r="Q31" i="6"/>
  <c r="G30" i="6"/>
  <c r="F30" i="6"/>
  <c r="E30" i="6"/>
  <c r="Q29" i="6"/>
  <c r="Q28" i="6"/>
  <c r="Q27" i="6"/>
  <c r="Q26" i="6"/>
  <c r="Q25" i="6"/>
  <c r="Q24" i="6"/>
  <c r="Q23" i="6"/>
  <c r="Q22" i="6"/>
  <c r="H20" i="6"/>
  <c r="G20" i="6"/>
  <c r="F20" i="6"/>
  <c r="E20" i="6"/>
  <c r="Q19" i="6"/>
  <c r="Q18" i="6"/>
  <c r="Q17" i="6"/>
  <c r="H14" i="6"/>
  <c r="Q15" i="6"/>
  <c r="G14" i="6"/>
  <c r="F14" i="6"/>
  <c r="E14" i="6"/>
  <c r="Q47" i="5"/>
  <c r="Q46" i="5"/>
  <c r="Q44" i="5"/>
  <c r="Q43" i="5"/>
  <c r="Q38" i="5"/>
  <c r="Q90" i="5"/>
  <c r="Q89" i="5"/>
  <c r="Q87" i="5"/>
  <c r="Q86" i="5"/>
  <c r="Q83" i="5"/>
  <c r="Q82" i="5"/>
  <c r="Q81" i="5"/>
  <c r="Q80" i="5"/>
  <c r="Q79" i="5"/>
  <c r="Q77" i="5"/>
  <c r="Q76" i="5"/>
  <c r="Q75" i="5"/>
  <c r="Q74" i="5"/>
  <c r="Q73" i="5"/>
  <c r="Q70" i="5"/>
  <c r="Q55" i="5"/>
  <c r="Q54" i="5"/>
  <c r="Q52" i="5"/>
  <c r="Q51" i="5"/>
  <c r="Q50" i="5"/>
  <c r="Q45" i="5"/>
  <c r="Q42" i="5"/>
  <c r="Q39" i="5"/>
  <c r="Q37" i="5"/>
  <c r="Q32" i="5"/>
  <c r="Q31" i="5"/>
  <c r="Q33" i="5"/>
  <c r="Q34" i="5"/>
  <c r="Q35" i="5"/>
  <c r="Q17" i="5"/>
  <c r="Q18" i="5"/>
  <c r="G22" i="5"/>
  <c r="Q22" i="5" s="1"/>
  <c r="G23" i="5"/>
  <c r="Q23" i="5" s="1"/>
  <c r="G24" i="5"/>
  <c r="Q24" i="5" s="1"/>
  <c r="G25" i="5"/>
  <c r="G26" i="5"/>
  <c r="G27" i="5"/>
  <c r="G28" i="5"/>
  <c r="Q28" i="5" s="1"/>
  <c r="G29" i="5"/>
  <c r="Q29" i="5" s="1"/>
  <c r="G21" i="5"/>
  <c r="G16" i="5"/>
  <c r="Q16" i="5" s="1"/>
  <c r="G19" i="5"/>
  <c r="G15" i="5"/>
  <c r="G91" i="5"/>
  <c r="G88" i="5"/>
  <c r="G85" i="5"/>
  <c r="G78" i="5"/>
  <c r="G72" i="5"/>
  <c r="G30" i="5"/>
  <c r="G40" i="5"/>
  <c r="G69" i="5"/>
  <c r="G68" i="5"/>
  <c r="G59" i="5"/>
  <c r="G60" i="5"/>
  <c r="G61" i="5"/>
  <c r="G62" i="5"/>
  <c r="G63" i="5"/>
  <c r="G65" i="5"/>
  <c r="G66" i="5"/>
  <c r="G58" i="5"/>
  <c r="G53" i="5"/>
  <c r="G49" i="5" s="1"/>
  <c r="Q48" i="5"/>
  <c r="P93" i="5"/>
  <c r="O93" i="5"/>
  <c r="N93" i="5"/>
  <c r="M93" i="5"/>
  <c r="L93" i="5"/>
  <c r="K93" i="5"/>
  <c r="J93" i="5"/>
  <c r="I93" i="5"/>
  <c r="Q92" i="5"/>
  <c r="F91" i="5"/>
  <c r="E91" i="5"/>
  <c r="F88" i="5"/>
  <c r="E88" i="5"/>
  <c r="E85" i="5"/>
  <c r="E84" i="5"/>
  <c r="E78" i="5"/>
  <c r="F72" i="5"/>
  <c r="E72" i="5"/>
  <c r="Q71" i="5"/>
  <c r="F69" i="5"/>
  <c r="E69" i="5"/>
  <c r="F68" i="5"/>
  <c r="E68" i="5"/>
  <c r="F66" i="5"/>
  <c r="F65" i="5"/>
  <c r="Q64" i="5"/>
  <c r="F63" i="5"/>
  <c r="F62" i="5"/>
  <c r="F61" i="5"/>
  <c r="F60" i="5"/>
  <c r="F59" i="5"/>
  <c r="F58" i="5"/>
  <c r="E57" i="5"/>
  <c r="Q56" i="5"/>
  <c r="F53" i="5"/>
  <c r="F49" i="5" s="1"/>
  <c r="E49" i="5"/>
  <c r="E40" i="5"/>
  <c r="Q36" i="5"/>
  <c r="E30" i="5"/>
  <c r="F20" i="5"/>
  <c r="E20" i="5"/>
  <c r="E14" i="5"/>
  <c r="E10" i="17" l="1"/>
  <c r="Q10" i="17" s="1"/>
  <c r="Q82" i="17"/>
  <c r="E81" i="17"/>
  <c r="Q81" i="17" s="1"/>
  <c r="Q69" i="8"/>
  <c r="Q61" i="10"/>
  <c r="F67" i="11"/>
  <c r="Q68" i="12"/>
  <c r="G67" i="5"/>
  <c r="F67" i="14"/>
  <c r="Q65" i="5"/>
  <c r="E67" i="6"/>
  <c r="E13" i="6" s="1"/>
  <c r="E93" i="6" s="1"/>
  <c r="Q69" i="12"/>
  <c r="F67" i="6"/>
  <c r="Q63" i="5"/>
  <c r="F49" i="11"/>
  <c r="Q49" i="11" s="1"/>
  <c r="F67" i="8"/>
  <c r="F67" i="9"/>
  <c r="F67" i="12"/>
  <c r="G57" i="5"/>
  <c r="F67" i="5"/>
  <c r="L67" i="10"/>
  <c r="Q59" i="5"/>
  <c r="F67" i="10"/>
  <c r="F57" i="6"/>
  <c r="Q57" i="6" s="1"/>
  <c r="Q68" i="8"/>
  <c r="Q66" i="10"/>
  <c r="F49" i="6"/>
  <c r="Q49" i="6" s="1"/>
  <c r="Q69" i="10"/>
  <c r="F49" i="10"/>
  <c r="Q49" i="10" s="1"/>
  <c r="Q53" i="8"/>
  <c r="Q69" i="6"/>
  <c r="I30" i="7"/>
  <c r="Q30" i="7" s="1"/>
  <c r="L20" i="10"/>
  <c r="Q20" i="10" s="1"/>
  <c r="Q69" i="14"/>
  <c r="L30" i="10"/>
  <c r="Q30" i="10" s="1"/>
  <c r="P84" i="14"/>
  <c r="P72" i="14"/>
  <c r="Q72" i="14" s="1"/>
  <c r="O13" i="14"/>
  <c r="O93" i="14" s="1"/>
  <c r="N84" i="14"/>
  <c r="I13" i="14"/>
  <c r="I93" i="14" s="1"/>
  <c r="J13" i="14"/>
  <c r="J93" i="14" s="1"/>
  <c r="Q88" i="14"/>
  <c r="K13" i="14"/>
  <c r="K93" i="14" s="1"/>
  <c r="L13" i="14"/>
  <c r="L93" i="14" s="1"/>
  <c r="F84" i="14"/>
  <c r="G13" i="14"/>
  <c r="G93" i="14" s="1"/>
  <c r="G84" i="14"/>
  <c r="Q91" i="14"/>
  <c r="N13" i="14"/>
  <c r="N93" i="14" s="1"/>
  <c r="Q78" i="14"/>
  <c r="P67" i="14"/>
  <c r="Q68" i="14"/>
  <c r="Q65" i="14"/>
  <c r="Q61" i="14"/>
  <c r="P30" i="14"/>
  <c r="Q30" i="14" s="1"/>
  <c r="P20" i="14"/>
  <c r="Q20" i="14" s="1"/>
  <c r="P14" i="14"/>
  <c r="Q14" i="14" s="1"/>
  <c r="Q15" i="14"/>
  <c r="Q85" i="14"/>
  <c r="H40" i="14"/>
  <c r="Q40" i="14" s="1"/>
  <c r="F57" i="14"/>
  <c r="Q57" i="14" s="1"/>
  <c r="F49" i="14"/>
  <c r="E67" i="14"/>
  <c r="Q86" i="13"/>
  <c r="Q79" i="13"/>
  <c r="O72" i="13"/>
  <c r="Q72" i="13" s="1"/>
  <c r="O67" i="13"/>
  <c r="Q62" i="13"/>
  <c r="O57" i="13"/>
  <c r="Q66" i="13"/>
  <c r="Q58" i="13"/>
  <c r="O49" i="13"/>
  <c r="O40" i="13"/>
  <c r="Q40" i="13" s="1"/>
  <c r="O30" i="13"/>
  <c r="O20" i="13"/>
  <c r="Q20" i="13" s="1"/>
  <c r="Q21" i="13"/>
  <c r="O14" i="13"/>
  <c r="Q14" i="13" s="1"/>
  <c r="Q15" i="13"/>
  <c r="M13" i="13"/>
  <c r="M93" i="13" s="1"/>
  <c r="G13" i="13"/>
  <c r="G93" i="13" s="1"/>
  <c r="E84" i="13"/>
  <c r="Q88" i="13"/>
  <c r="I13" i="13"/>
  <c r="I93" i="13" s="1"/>
  <c r="F57" i="13"/>
  <c r="Q68" i="13"/>
  <c r="F67" i="13"/>
  <c r="J84" i="13"/>
  <c r="Q69" i="13"/>
  <c r="L13" i="13"/>
  <c r="L93" i="13" s="1"/>
  <c r="O84" i="13"/>
  <c r="K13" i="13"/>
  <c r="K93" i="13" s="1"/>
  <c r="N13" i="13"/>
  <c r="N93" i="13" s="1"/>
  <c r="Q78" i="13"/>
  <c r="H13" i="13"/>
  <c r="H93" i="13" s="1"/>
  <c r="F49" i="13"/>
  <c r="E67" i="13"/>
  <c r="Q85" i="13"/>
  <c r="Q61" i="13"/>
  <c r="Q41" i="13"/>
  <c r="H13" i="12"/>
  <c r="H93" i="12" s="1"/>
  <c r="Q72" i="12"/>
  <c r="J13" i="12"/>
  <c r="J93" i="12" s="1"/>
  <c r="K13" i="12"/>
  <c r="K93" i="12" s="1"/>
  <c r="J84" i="12"/>
  <c r="Q88" i="12"/>
  <c r="Q78" i="12"/>
  <c r="Q79" i="12"/>
  <c r="N67" i="12"/>
  <c r="Q62" i="12"/>
  <c r="Q65" i="12"/>
  <c r="N57" i="12"/>
  <c r="Q61" i="12"/>
  <c r="Q58" i="12"/>
  <c r="Q53" i="12"/>
  <c r="N30" i="12"/>
  <c r="Q30" i="12" s="1"/>
  <c r="Q20" i="12"/>
  <c r="Q17" i="12"/>
  <c r="Q91" i="12"/>
  <c r="M84" i="12"/>
  <c r="N84" i="12"/>
  <c r="Q85" i="12"/>
  <c r="M13" i="12"/>
  <c r="M93" i="12" s="1"/>
  <c r="L13" i="12"/>
  <c r="L93" i="12" s="1"/>
  <c r="Q40" i="12"/>
  <c r="G13" i="12"/>
  <c r="G93" i="12" s="1"/>
  <c r="F49" i="12"/>
  <c r="Q49" i="12" s="1"/>
  <c r="E84" i="12"/>
  <c r="Q41" i="12"/>
  <c r="Q14" i="12"/>
  <c r="F57" i="12"/>
  <c r="E67" i="12"/>
  <c r="H13" i="11"/>
  <c r="H93" i="11" s="1"/>
  <c r="H84" i="11"/>
  <c r="I13" i="11"/>
  <c r="I93" i="11" s="1"/>
  <c r="J84" i="11"/>
  <c r="Q41" i="11"/>
  <c r="F57" i="11"/>
  <c r="Q57" i="11" s="1"/>
  <c r="K13" i="11"/>
  <c r="K93" i="11" s="1"/>
  <c r="Q91" i="11"/>
  <c r="K84" i="11"/>
  <c r="M13" i="11"/>
  <c r="M93" i="11" s="1"/>
  <c r="Q89" i="11"/>
  <c r="Q68" i="11"/>
  <c r="Q40" i="11"/>
  <c r="Q37" i="11"/>
  <c r="Q15" i="11"/>
  <c r="Q88" i="11"/>
  <c r="L85" i="11"/>
  <c r="L84" i="11" s="1"/>
  <c r="Q78" i="11"/>
  <c r="L72" i="11"/>
  <c r="Q72" i="11"/>
  <c r="Q69" i="11"/>
  <c r="Q30" i="11"/>
  <c r="Q58" i="11"/>
  <c r="L14" i="11"/>
  <c r="E84" i="11"/>
  <c r="J13" i="11"/>
  <c r="J93" i="11" s="1"/>
  <c r="L20" i="11"/>
  <c r="Q20" i="11" s="1"/>
  <c r="Q65" i="11"/>
  <c r="E67" i="11"/>
  <c r="L57" i="10"/>
  <c r="H13" i="10"/>
  <c r="H93" i="10" s="1"/>
  <c r="F57" i="10"/>
  <c r="K84" i="10"/>
  <c r="Q58" i="10"/>
  <c r="J84" i="10"/>
  <c r="Q40" i="10"/>
  <c r="Q91" i="10"/>
  <c r="Q68" i="10"/>
  <c r="Q62" i="10"/>
  <c r="Q65" i="10"/>
  <c r="Q63" i="10"/>
  <c r="Q60" i="10"/>
  <c r="Q41" i="10"/>
  <c r="Q23" i="10"/>
  <c r="L14" i="10"/>
  <c r="Q15" i="10"/>
  <c r="L84" i="10"/>
  <c r="Q88" i="10"/>
  <c r="I13" i="10"/>
  <c r="I93" i="10" s="1"/>
  <c r="J13" i="10"/>
  <c r="J93" i="10" s="1"/>
  <c r="K13" i="10"/>
  <c r="K93" i="10" s="1"/>
  <c r="Q85" i="10"/>
  <c r="Q78" i="10"/>
  <c r="E67" i="10"/>
  <c r="H13" i="9"/>
  <c r="H93" i="9" s="1"/>
  <c r="E67" i="9"/>
  <c r="E13" i="9" s="1"/>
  <c r="Q88" i="9"/>
  <c r="E84" i="9"/>
  <c r="G84" i="9"/>
  <c r="J13" i="9"/>
  <c r="J93" i="9" s="1"/>
  <c r="K67" i="9"/>
  <c r="Q69" i="9"/>
  <c r="Q60" i="9"/>
  <c r="Q62" i="9"/>
  <c r="K57" i="9"/>
  <c r="Q66" i="9"/>
  <c r="Q58" i="9"/>
  <c r="K49" i="9"/>
  <c r="Q49" i="9" s="1"/>
  <c r="Q41" i="9"/>
  <c r="K30" i="9"/>
  <c r="Q30" i="9" s="1"/>
  <c r="K20" i="9"/>
  <c r="Q20" i="9" s="1"/>
  <c r="K14" i="9"/>
  <c r="Q14" i="9" s="1"/>
  <c r="Q40" i="9"/>
  <c r="F57" i="9"/>
  <c r="Q53" i="9"/>
  <c r="Q91" i="9"/>
  <c r="J57" i="8"/>
  <c r="Q49" i="8"/>
  <c r="J30" i="8"/>
  <c r="Q31" i="8"/>
  <c r="J20" i="8"/>
  <c r="Q21" i="8"/>
  <c r="J13" i="8"/>
  <c r="J93" i="8" s="1"/>
  <c r="I13" i="8"/>
  <c r="I93" i="8" s="1"/>
  <c r="Q30" i="8"/>
  <c r="G14" i="8"/>
  <c r="G13" i="8" s="1"/>
  <c r="G93" i="8" s="1"/>
  <c r="Q84" i="8"/>
  <c r="H40" i="8"/>
  <c r="H13" i="8" s="1"/>
  <c r="H93" i="8" s="1"/>
  <c r="Q35" i="8"/>
  <c r="E67" i="8"/>
  <c r="E13" i="8" s="1"/>
  <c r="F57" i="8"/>
  <c r="Q20" i="8"/>
  <c r="E84" i="7"/>
  <c r="F84" i="7"/>
  <c r="Q72" i="7"/>
  <c r="F67" i="7"/>
  <c r="Q41" i="7"/>
  <c r="Q91" i="7"/>
  <c r="Q85" i="7"/>
  <c r="G13" i="7"/>
  <c r="G93" i="7" s="1"/>
  <c r="Q40" i="7"/>
  <c r="Q68" i="7"/>
  <c r="Q88" i="7"/>
  <c r="Q69" i="7"/>
  <c r="Q78" i="7"/>
  <c r="Q20" i="7"/>
  <c r="H13" i="7"/>
  <c r="H93" i="7" s="1"/>
  <c r="G84" i="7"/>
  <c r="Q84" i="7" s="1"/>
  <c r="F49" i="7"/>
  <c r="Q49" i="7" s="1"/>
  <c r="F57" i="7"/>
  <c r="Q57" i="7" s="1"/>
  <c r="E67" i="7"/>
  <c r="Q14" i="7"/>
  <c r="G84" i="6"/>
  <c r="Q88" i="6"/>
  <c r="Q91" i="6"/>
  <c r="H84" i="6"/>
  <c r="Q30" i="6"/>
  <c r="G13" i="6"/>
  <c r="G93" i="6" s="1"/>
  <c r="Q20" i="6"/>
  <c r="Q84" i="6"/>
  <c r="Q21" i="6"/>
  <c r="Q58" i="6"/>
  <c r="Q33" i="6"/>
  <c r="Q16" i="6"/>
  <c r="H40" i="6"/>
  <c r="Q40" i="6" s="1"/>
  <c r="Q68" i="6"/>
  <c r="Q85" i="6"/>
  <c r="Q14" i="6"/>
  <c r="Q59" i="6"/>
  <c r="Q72" i="5"/>
  <c r="Q60" i="5"/>
  <c r="Q27" i="5"/>
  <c r="Q26" i="5"/>
  <c r="Q19" i="5"/>
  <c r="G20" i="5"/>
  <c r="Q20" i="5" s="1"/>
  <c r="Q21" i="5"/>
  <c r="G14" i="5"/>
  <c r="Q91" i="5"/>
  <c r="G84" i="5"/>
  <c r="Q61" i="5"/>
  <c r="E67" i="5"/>
  <c r="Q88" i="5"/>
  <c r="Q69" i="5"/>
  <c r="Q66" i="5"/>
  <c r="Q62" i="5"/>
  <c r="Q58" i="5"/>
  <c r="Q53" i="5"/>
  <c r="Q41" i="5"/>
  <c r="Q25" i="5"/>
  <c r="Q15" i="5"/>
  <c r="Q49" i="5"/>
  <c r="F78" i="5"/>
  <c r="Q78" i="5" s="1"/>
  <c r="F40" i="5"/>
  <c r="Q40" i="5" s="1"/>
  <c r="F57" i="5"/>
  <c r="F30" i="5"/>
  <c r="F85" i="5"/>
  <c r="F84" i="5" s="1"/>
  <c r="F14" i="5"/>
  <c r="Q68" i="5"/>
  <c r="E90" i="17" l="1"/>
  <c r="Q90" i="17" s="1"/>
  <c r="Q67" i="6"/>
  <c r="Q67" i="11"/>
  <c r="F13" i="8"/>
  <c r="F93" i="8" s="1"/>
  <c r="Q57" i="10"/>
  <c r="Q57" i="8"/>
  <c r="F13" i="14"/>
  <c r="F93" i="14" s="1"/>
  <c r="Q57" i="5"/>
  <c r="Q67" i="5"/>
  <c r="Q67" i="8"/>
  <c r="I13" i="7"/>
  <c r="I93" i="7" s="1"/>
  <c r="F13" i="11"/>
  <c r="F93" i="11" s="1"/>
  <c r="F13" i="6"/>
  <c r="F93" i="6" s="1"/>
  <c r="E13" i="5"/>
  <c r="E93" i="5" s="1"/>
  <c r="Q67" i="10"/>
  <c r="F13" i="10"/>
  <c r="F93" i="10" s="1"/>
  <c r="Q40" i="8"/>
  <c r="F13" i="13"/>
  <c r="F93" i="13" s="1"/>
  <c r="Q84" i="14"/>
  <c r="Q49" i="14"/>
  <c r="P13" i="14"/>
  <c r="P93" i="14" s="1"/>
  <c r="H13" i="14"/>
  <c r="H93" i="14" s="1"/>
  <c r="Q67" i="14"/>
  <c r="E13" i="14"/>
  <c r="Q84" i="13"/>
  <c r="Q67" i="13"/>
  <c r="Q57" i="13"/>
  <c r="O13" i="13"/>
  <c r="O93" i="13" s="1"/>
  <c r="Q49" i="13"/>
  <c r="E13" i="13"/>
  <c r="N13" i="12"/>
  <c r="N93" i="12" s="1"/>
  <c r="Q67" i="12"/>
  <c r="Q57" i="12"/>
  <c r="Q84" i="12"/>
  <c r="F13" i="12"/>
  <c r="F93" i="12" s="1"/>
  <c r="E13" i="12"/>
  <c r="E13" i="11"/>
  <c r="E93" i="11" s="1"/>
  <c r="Q85" i="11"/>
  <c r="Q84" i="11"/>
  <c r="L13" i="11"/>
  <c r="L93" i="11" s="1"/>
  <c r="Q14" i="11"/>
  <c r="Q84" i="10"/>
  <c r="E13" i="10"/>
  <c r="E93" i="10" s="1"/>
  <c r="L13" i="10"/>
  <c r="L93" i="10" s="1"/>
  <c r="Q14" i="10"/>
  <c r="Q84" i="9"/>
  <c r="Q57" i="9"/>
  <c r="K13" i="9"/>
  <c r="K93" i="9" s="1"/>
  <c r="E93" i="9"/>
  <c r="F13" i="9"/>
  <c r="F93" i="9" s="1"/>
  <c r="Q14" i="8"/>
  <c r="E93" i="8"/>
  <c r="Q93" i="8" s="1"/>
  <c r="Q13" i="8"/>
  <c r="Q67" i="7"/>
  <c r="E13" i="7"/>
  <c r="E93" i="7" s="1"/>
  <c r="F13" i="7"/>
  <c r="F93" i="7" s="1"/>
  <c r="H13" i="6"/>
  <c r="Q30" i="5"/>
  <c r="Q84" i="5"/>
  <c r="H93" i="5"/>
  <c r="G13" i="5"/>
  <c r="G93" i="5" s="1"/>
  <c r="Q85" i="5"/>
  <c r="F13" i="5"/>
  <c r="F93" i="5" s="1"/>
  <c r="Q14" i="5"/>
  <c r="E93" i="14" l="1"/>
  <c r="Q93" i="14" s="1"/>
  <c r="Q13" i="14"/>
  <c r="E93" i="13"/>
  <c r="E93" i="12"/>
  <c r="Q93" i="12" s="1"/>
  <c r="Q13" i="12"/>
  <c r="Q93" i="11"/>
  <c r="Q13" i="11"/>
  <c r="Q13" i="10"/>
  <c r="Q93" i="10"/>
  <c r="Q93" i="7"/>
  <c r="Q13" i="7"/>
  <c r="H93" i="6"/>
  <c r="Q93" i="6" s="1"/>
  <c r="Q13" i="6"/>
  <c r="Q13" i="5"/>
  <c r="Q93" i="5"/>
  <c r="Q93" i="2"/>
  <c r="P93" i="2"/>
  <c r="O93" i="2"/>
  <c r="N93" i="2"/>
  <c r="M93" i="2"/>
  <c r="L93" i="2"/>
  <c r="K93" i="2"/>
  <c r="J93" i="2"/>
  <c r="I93" i="2"/>
  <c r="H93" i="2"/>
  <c r="G93" i="2"/>
  <c r="R92" i="2"/>
  <c r="F91" i="2"/>
  <c r="R91" i="2" s="1"/>
  <c r="R90" i="2"/>
  <c r="R89" i="2"/>
  <c r="F88" i="2"/>
  <c r="R88" i="2" s="1"/>
  <c r="R87" i="2"/>
  <c r="R86" i="2"/>
  <c r="F85" i="2"/>
  <c r="F84" i="2" s="1"/>
  <c r="R84" i="2" s="1"/>
  <c r="R83" i="2"/>
  <c r="R82" i="2"/>
  <c r="R81" i="2"/>
  <c r="R80" i="2"/>
  <c r="R79" i="2"/>
  <c r="F78" i="2"/>
  <c r="R78" i="2" s="1"/>
  <c r="R77" i="2"/>
  <c r="R76" i="2"/>
  <c r="R75" i="2"/>
  <c r="R74" i="2"/>
  <c r="R73" i="2"/>
  <c r="F72" i="2"/>
  <c r="R72" i="2" s="1"/>
  <c r="R71" i="2"/>
  <c r="R70" i="2"/>
  <c r="R69" i="2"/>
  <c r="R68" i="2"/>
  <c r="R66" i="2"/>
  <c r="R65" i="2"/>
  <c r="R64" i="2"/>
  <c r="R63" i="2"/>
  <c r="R62" i="2"/>
  <c r="R61" i="2"/>
  <c r="R60" i="2"/>
  <c r="R59" i="2"/>
  <c r="F57" i="2"/>
  <c r="R57" i="2" s="1"/>
  <c r="R56" i="2"/>
  <c r="R55" i="2"/>
  <c r="R54" i="2"/>
  <c r="R53" i="2"/>
  <c r="R52" i="2"/>
  <c r="R51" i="2"/>
  <c r="R50" i="2"/>
  <c r="F49" i="2"/>
  <c r="R49" i="2" s="1"/>
  <c r="R48" i="2"/>
  <c r="R47" i="2"/>
  <c r="R46" i="2"/>
  <c r="R45" i="2"/>
  <c r="R44" i="2"/>
  <c r="R43" i="2"/>
  <c r="R42" i="2"/>
  <c r="R41" i="2"/>
  <c r="F40" i="2"/>
  <c r="R40" i="2" s="1"/>
  <c r="R39" i="2"/>
  <c r="R38" i="2"/>
  <c r="R37" i="2"/>
  <c r="R36" i="2"/>
  <c r="R35" i="2"/>
  <c r="R34" i="2"/>
  <c r="R33" i="2"/>
  <c r="R32" i="2"/>
  <c r="R29" i="2"/>
  <c r="R28" i="2"/>
  <c r="R27" i="2"/>
  <c r="R26" i="2"/>
  <c r="R25" i="2"/>
  <c r="R24" i="2"/>
  <c r="R23" i="2"/>
  <c r="R22" i="2"/>
  <c r="R21" i="2"/>
  <c r="R19" i="2"/>
  <c r="R18" i="2"/>
  <c r="R17" i="2"/>
  <c r="R16" i="2"/>
  <c r="R15" i="2"/>
  <c r="P93" i="1"/>
  <c r="O93" i="1"/>
  <c r="N93" i="1"/>
  <c r="M93" i="1"/>
  <c r="L93" i="1"/>
  <c r="K93" i="1"/>
  <c r="J93" i="1"/>
  <c r="I93" i="1"/>
  <c r="H93" i="1"/>
  <c r="G93" i="1"/>
  <c r="Q92" i="1"/>
  <c r="F91" i="1"/>
  <c r="E91" i="1"/>
  <c r="Q91" i="1" s="1"/>
  <c r="Q90" i="1"/>
  <c r="Q89" i="1"/>
  <c r="F88" i="1"/>
  <c r="E88" i="1"/>
  <c r="Q87" i="1"/>
  <c r="Q86" i="1"/>
  <c r="F85" i="1"/>
  <c r="E85" i="1"/>
  <c r="E84" i="1" s="1"/>
  <c r="Q83" i="1"/>
  <c r="Q82" i="1"/>
  <c r="Q81" i="1"/>
  <c r="Q80" i="1"/>
  <c r="Q79" i="1"/>
  <c r="F78" i="1"/>
  <c r="Q78" i="1" s="1"/>
  <c r="E78" i="1"/>
  <c r="Q77" i="1"/>
  <c r="Q76" i="1"/>
  <c r="Q75" i="1"/>
  <c r="Q74" i="1"/>
  <c r="Q73" i="1"/>
  <c r="F72" i="1"/>
  <c r="E72" i="1"/>
  <c r="Q71" i="1"/>
  <c r="Q70" i="1"/>
  <c r="E69" i="1"/>
  <c r="Q69" i="1" s="1"/>
  <c r="F67" i="1"/>
  <c r="E68" i="1"/>
  <c r="Q68" i="1" s="1"/>
  <c r="Q66" i="1"/>
  <c r="Q65" i="1"/>
  <c r="Q64" i="1"/>
  <c r="Q63" i="1"/>
  <c r="Q62" i="1"/>
  <c r="Q61" i="1"/>
  <c r="Q60" i="1"/>
  <c r="Q59" i="1"/>
  <c r="F57" i="1"/>
  <c r="Q58" i="1"/>
  <c r="Q56" i="1"/>
  <c r="Q55" i="1"/>
  <c r="Q54" i="1"/>
  <c r="Q53" i="1"/>
  <c r="F49" i="1"/>
  <c r="Q49" i="1" s="1"/>
  <c r="Q52" i="1"/>
  <c r="Q51" i="1"/>
  <c r="Q50" i="1"/>
  <c r="E49" i="1"/>
  <c r="Q48" i="1"/>
  <c r="Q47" i="1"/>
  <c r="Q46" i="1"/>
  <c r="Q45" i="1"/>
  <c r="Q44" i="1"/>
  <c r="Q43" i="1"/>
  <c r="Q42" i="1"/>
  <c r="Q41" i="1"/>
  <c r="E40" i="1"/>
  <c r="Q39" i="1"/>
  <c r="Q38" i="1"/>
  <c r="Q37" i="1"/>
  <c r="Q36" i="1"/>
  <c r="Q35" i="1"/>
  <c r="Q34" i="1"/>
  <c r="Q33" i="1"/>
  <c r="Q32" i="1"/>
  <c r="Q31" i="1"/>
  <c r="E30" i="1"/>
  <c r="Q29" i="1"/>
  <c r="Q28" i="1"/>
  <c r="Q27" i="1"/>
  <c r="Q26" i="1"/>
  <c r="Q25" i="1"/>
  <c r="Q24" i="1"/>
  <c r="Q23" i="1"/>
  <c r="Q22" i="1"/>
  <c r="F20" i="1"/>
  <c r="E20" i="1"/>
  <c r="Q19" i="1"/>
  <c r="Q18" i="1"/>
  <c r="Q17" i="1"/>
  <c r="Q16" i="1"/>
  <c r="Q15" i="1"/>
  <c r="F14" i="1"/>
  <c r="E14" i="1"/>
  <c r="Q88" i="1" l="1"/>
  <c r="Q20" i="1"/>
  <c r="F84" i="1"/>
  <c r="Q84" i="1" s="1"/>
  <c r="Q85" i="1"/>
  <c r="Q72" i="1"/>
  <c r="R58" i="2"/>
  <c r="F14" i="2"/>
  <c r="R14" i="2" s="1"/>
  <c r="F30" i="2"/>
  <c r="R30" i="2" s="1"/>
  <c r="R31" i="2"/>
  <c r="F67" i="2"/>
  <c r="R67" i="2" s="1"/>
  <c r="R85" i="2"/>
  <c r="F20" i="2"/>
  <c r="Q14" i="1"/>
  <c r="Q21" i="1"/>
  <c r="E67" i="1"/>
  <c r="F30" i="1"/>
  <c r="E57" i="1"/>
  <c r="Q57" i="1" s="1"/>
  <c r="F40" i="1"/>
  <c r="Q40" i="1" s="1"/>
  <c r="Q67" i="1" l="1"/>
  <c r="E13" i="1"/>
  <c r="E93" i="1" s="1"/>
  <c r="F13" i="1"/>
  <c r="F93" i="1" s="1"/>
  <c r="R20" i="2"/>
  <c r="F13" i="2"/>
  <c r="Q30" i="1"/>
  <c r="Q93" i="1" l="1"/>
  <c r="Q13" i="1"/>
  <c r="F93" i="2"/>
  <c r="R93" i="2" s="1"/>
  <c r="R13" i="2"/>
  <c r="I67" i="9"/>
  <c r="Q67" i="9" s="1"/>
  <c r="Q68" i="9"/>
  <c r="I13" i="9" l="1"/>
  <c r="Q13" i="9" l="1"/>
  <c r="I93" i="9"/>
  <c r="Q93" i="9" s="1"/>
  <c r="J30" i="13" l="1"/>
  <c r="Q30" i="13" s="1"/>
  <c r="Q31" i="13"/>
  <c r="J13" i="13" l="1"/>
  <c r="Q13" i="13" l="1"/>
  <c r="J93" i="13"/>
  <c r="Q93" i="13" s="1"/>
</calcChain>
</file>

<file path=xl/sharedStrings.xml><?xml version="1.0" encoding="utf-8"?>
<sst xmlns="http://schemas.openxmlformats.org/spreadsheetml/2006/main" count="1434" uniqueCount="137">
  <si>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</si>
  <si>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</si>
  <si>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</si>
  <si>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</si>
  <si>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</si>
  <si>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</si>
  <si>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</si>
  <si>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</si>
  <si>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</si>
  <si>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</si>
  <si>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</si>
  <si>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</si>
  <si>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</si>
  <si>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</si>
  <si>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</si>
  <si>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</si>
  <si>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</si>
  <si>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</si>
  <si>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</si>
  <si>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</si>
  <si>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</si>
  <si>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</si>
  <si>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</si>
  <si>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</si>
  <si>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</si>
  <si>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</si>
  <si>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</si>
  <si>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</si>
  <si>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</si>
  <si>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</si>
  <si>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</si>
  <si>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</si>
  <si>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</si>
  <si>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</si>
  <si>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</si>
  <si>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</si>
  <si>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</si>
  <si>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</si>
  <si>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</si>
  <si>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</si>
  <si>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</si>
  <si>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</si>
  <si>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</si>
  <si>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</si>
  <si>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</si>
  <si>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</si>
  <si>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</si>
  <si>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</si>
  <si>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</si>
  <si>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</si>
  <si>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</si>
  <si>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</si>
  <si>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</si>
  <si>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</si>
  <si>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</si>
  <si>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</si>
  <si>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</si>
  <si>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</si>
  <si>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</si>
  <si>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</si>
  <si>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</si>
  <si>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</si>
  <si>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</si>
  <si>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</si>
  <si>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</si>
  <si>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</si>
  <si>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</si>
  <si>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</si>
  <si>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</si>
  <si>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</si>
  <si>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</si>
  <si>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</si>
  <si>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</si>
  <si>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</si>
  <si>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</si>
  <si>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</si>
  <si>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</si>
  <si>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</si>
  <si>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</si>
  <si>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</si>
  <si>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</si>
  <si>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</si>
  <si>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</si>
  <si>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</si>
  <si>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</si>
  <si>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</si>
  <si>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</si>
  <si>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</si>
  <si>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</si>
  <si>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</si>
  <si>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</si>
  <si>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</si>
  <si>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</si>
  <si>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</si>
  <si>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</si>
  <si>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</si>
  <si>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</si>
  <si>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</si>
  <si>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</si>
  <si>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</si>
  <si>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indexed="8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</si>
  <si>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indexed="8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</si>
  <si>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indexed="8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</si>
  <si>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*NOTA</t>
  </si>
  <si>
    <t>2.4.2-TRANSFERENCIAS CORRIENTES AL  GOBIERNO GENERAL NACIONAL</t>
  </si>
  <si>
    <t>MINISTERIO DE LA VIVIENDA Y EDIFICACIONES</t>
  </si>
  <si>
    <t>VICEMINISTERIO ADMINISTRATIVO Y FINANCIERO</t>
  </si>
  <si>
    <t>DIRECCION FINANCIERA</t>
  </si>
  <si>
    <t>Dpto. de Presupuesto</t>
  </si>
  <si>
    <t>DETALLE</t>
  </si>
  <si>
    <t>PRESUPUESTO VIGENTE</t>
  </si>
  <si>
    <t>PRESUPUESTO MODIFICADO</t>
  </si>
  <si>
    <t xml:space="preserve">2-GASTOS </t>
  </si>
  <si>
    <t>2.3.8-GASTOS QUE SE ASIGNARÁN DURANTE EL EJERCICIO (ART. 32 Y 33 LEY 423-06)</t>
  </si>
  <si>
    <t>2.4.4-TRANSFERENCIAS CORRIENTES A EMPRESAS PÚBLICAS NO FINANCIERAS</t>
  </si>
  <si>
    <t>2.4.5-TRANSFERENCIAS CORRIENTES A INSTITUCIONES PÚBLICAS FINANCIERAS</t>
  </si>
  <si>
    <t xml:space="preserve">2.4.9-TRANSFERENCIAS CORRIENTES A OTRAS INSTITUCIONES PÚBLICAS </t>
  </si>
  <si>
    <t xml:space="preserve">2.5.1-TRANSFERENCIAS DE CAPITAL AL SECTOR PRIVADO </t>
  </si>
  <si>
    <t>2.5.5-TRANSFERENCIAS DE CAPITAL A INSTITUCIONES PÚBLICAS FINANCIERAS</t>
  </si>
  <si>
    <t>2.5.9-TRANSFERENCIAS DE CAPITAL A OTRAS INSTITUCIONES PÚBLICAS</t>
  </si>
  <si>
    <t>2.6.7-ACTIVOS BIOLÓGICOS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</si>
  <si>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</si>
  <si>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</si>
  <si>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</si>
  <si>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</si>
  <si>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</si>
  <si>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</si>
  <si>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2.8.5-APORTES DE CAPITAL AL SECTOR PÚBLICO</t>
  </si>
  <si>
    <t>2.9.1-INTERESES DE LA DEUDA PÚBLICA INTERNA</t>
  </si>
  <si>
    <t>2.9.2-INTERESES DE LA DEUDA PÚBLICA EXTERNA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</si>
  <si>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</si>
  <si>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</si>
  <si>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</si>
  <si>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4.2.2-DISMINUCION DE PASIVOSNO CORRIENTES</t>
  </si>
  <si>
    <t>4.3.5-DISMINUCION DEPOSITOS FONDOS DE TERCEROS</t>
  </si>
  <si>
    <t>Presupuesto Vigente Aprobado 2025</t>
  </si>
  <si>
    <t>Fuente: Informe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</si>
</sst>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6"/>
      <color theme="4" tint="-0.249977111117893"/>
      <name val="Aptos Narrow"/>
      <family val="2"/>
      <scheme val="minor"/>
    </font>
    <font>
      <b/>
      <sz val="13"/>
      <color theme="4" tint="-0.249977111117893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164" fontId="5" fillId="3" borderId="3" xfId="1" applyFont="1" applyFill="1" applyBorder="1" applyAlignment="1">
      <alignment horizontal="left"/>
    </xf>
    <xf numFmtId="164" fontId="5" fillId="3" borderId="3" xfId="0" applyNumberFormat="1" applyFont="1" applyFill="1" applyBorder="1"/>
    <xf numFmtId="0" fontId="0" fillId="0" borderId="0" xfId="0" applyAlignment="1">
      <alignment horizontal="left" indent="1"/>
    </xf>
    <xf numFmtId="164" fontId="3" fillId="4" borderId="4" xfId="1" applyFont="1" applyFill="1" applyBorder="1" applyAlignment="1">
      <alignment horizontal="left" indent="1"/>
    </xf>
    <xf numFmtId="164" fontId="3" fillId="4" borderId="4" xfId="1" applyFont="1" applyFill="1" applyBorder="1"/>
    <xf numFmtId="0" fontId="0" fillId="0" borderId="0" xfId="0" applyAlignment="1">
      <alignment horizontal="left" indent="2"/>
    </xf>
    <xf numFmtId="164" fontId="3" fillId="0" borderId="3" xfId="1" applyFont="1" applyBorder="1" applyAlignment="1">
      <alignment horizontal="left" indent="2"/>
    </xf>
    <xf numFmtId="164" fontId="3" fillId="0" borderId="3" xfId="1" applyFont="1" applyBorder="1"/>
    <xf numFmtId="164" fontId="3" fillId="4" borderId="4" xfId="0" applyNumberFormat="1" applyFont="1" applyFill="1" applyBorder="1"/>
    <xf numFmtId="0" fontId="3" fillId="4" borderId="4" xfId="0" applyFont="1" applyFill="1" applyBorder="1" applyAlignment="1">
      <alignment horizontal="left" indent="1"/>
    </xf>
    <xf numFmtId="164" fontId="3" fillId="0" borderId="3" xfId="0" applyNumberFormat="1" applyFont="1" applyBorder="1"/>
    <xf numFmtId="0" fontId="3" fillId="0" borderId="3" xfId="0" applyFont="1" applyBorder="1" applyAlignment="1">
      <alignment horizontal="left" indent="2"/>
    </xf>
    <xf numFmtId="0" fontId="5" fillId="3" borderId="3" xfId="0" applyFont="1" applyFill="1" applyBorder="1" applyAlignment="1">
      <alignment horizontal="left"/>
    </xf>
    <xf numFmtId="164" fontId="3" fillId="4" borderId="4" xfId="0" applyNumberFormat="1" applyFont="1" applyFill="1" applyBorder="1" applyAlignment="1">
      <alignment horizontal="left" indent="1"/>
    </xf>
    <xf numFmtId="164" fontId="4" fillId="0" borderId="5" xfId="1" applyFont="1" applyBorder="1" applyAlignment="1">
      <alignment horizontal="left"/>
    </xf>
    <xf numFmtId="164" fontId="4" fillId="0" borderId="5" xfId="1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13" fillId="0" borderId="0" xfId="0" applyFont="1"/>
    <xf numFmtId="164" fontId="2" fillId="0" borderId="3" xfId="1" applyFont="1" applyBorder="1" applyAlignment="1">
      <alignment horizontal="left" indent="2"/>
    </xf>
    <xf numFmtId="0" fontId="5" fillId="2" borderId="2" xfId="0" applyFont="1" applyFill="1" applyBorder="1"/>
    <xf numFmtId="0" fontId="6" fillId="0" borderId="0" xfId="2"/>
    <xf numFmtId="164" fontId="0" fillId="0" borderId="0" xfId="3" applyFont="1"/>
    <xf numFmtId="164" fontId="1" fillId="0" borderId="3" xfId="0" applyNumberFormat="1" applyFont="1" applyBorder="1"/>
    <xf numFmtId="0" fontId="13" fillId="0" borderId="0" xfId="2" applyFont="1"/>
    <xf numFmtId="0" fontId="6" fillId="0" borderId="6" xfId="2" applyBorder="1"/>
    <xf numFmtId="0" fontId="6" fillId="0" borderId="6" xfId="2" applyBorder="1" applyAlignment="1">
      <alignment wrapText="1"/>
    </xf>
    <xf numFmtId="0" fontId="11" fillId="2" borderId="9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left" indent="1"/>
    </xf>
    <xf numFmtId="164" fontId="1" fillId="4" borderId="4" xfId="0" applyNumberFormat="1" applyFont="1" applyFill="1" applyBorder="1"/>
    <xf numFmtId="0" fontId="1" fillId="0" borderId="3" xfId="0" applyFont="1" applyBorder="1" applyAlignment="1">
      <alignment horizontal="left" indent="2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/>
    <xf numFmtId="0" fontId="6" fillId="0" borderId="7" xfId="2" applyBorder="1" applyAlignment="1">
      <alignment horizontal="left" wrapTex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2"/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0" xfId="2" applyBorder="1" applyAlignment="1">
      <alignment horizontal="left" wrapText="1"/>
    </xf>
    <xf numFmtId="0" fontId="13" fillId="0" borderId="6" xfId="0" applyFont="1" applyBorder="1"/>
  </cellXfs>
  <cellStyles count="4">
    <cellStyle name="Millares" xfId="1" builtinId="3"/>
    <cellStyle name="Millares 2" xfId="3" xr:uid="{75AF3606-DA7B-4DC1-BD87-B13F65266C84}"/>
    <cellStyle name="Normal" xfId="0" builtinId="0"/>
    <cellStyle name="Normal 2" xfId="2" xr:uid="{759E172C-A796-4DE8-B8A2-60AC2A190269}"/>
  </cellStyles>
  <dxfs count="53"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font>
        <sz val="14"/>
      </font>
    </dxf>
    <dxf>
      <font>
        <sz val="14"/>
      </font>
    </dxf>
    <dxf>
      <alignment vertical="center"/>
    </dxf>
    <dxf>
      <alignment vertical="center"/>
    </dxf>
    <dxf>
      <numFmt numFmtId="164" formatCode="_(* #,##0.00_);_(* \(#,##0.00\);_(* &quot;-&quot;??_);_(@_)"/>
    </dxf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437994-1F65-4CAC-8F76-94E491EFF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106</xdr:row>
      <xdr:rowOff>40820</xdr:rowOff>
    </xdr:from>
    <xdr:to>
      <xdr:col>4</xdr:col>
      <xdr:colOff>122464</xdr:colOff>
      <xdr:row>118</xdr:row>
      <xdr:rowOff>73227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D4E41092-6823-8892-B27E-FE8736AE9B60}"/>
            </a:ext>
          </a:extLst>
        </xdr:cNvPr>
        <xdr:cNvGrpSpPr/>
      </xdr:nvGrpSpPr>
      <xdr:grpSpPr>
        <a:xfrm>
          <a:off x="176894" y="20927784"/>
          <a:ext cx="12763499" cy="2318407"/>
          <a:chOff x="176894" y="20927784"/>
          <a:chExt cx="12763499" cy="231840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EB38D3-9EAB-4A1D-82FB-2364D41156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927784"/>
            <a:ext cx="12763499" cy="2318407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C9B7F246-AB42-D708-E200-66B95F1B294C}"/>
              </a:ext>
            </a:extLst>
          </xdr:cNvPr>
          <xdr:cNvSpPr/>
        </xdr:nvSpPr>
        <xdr:spPr>
          <a:xfrm>
            <a:off x="4531179" y="21580929"/>
            <a:ext cx="3224892" cy="138792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559027</xdr:colOff>
      <xdr:row>0</xdr:row>
      <xdr:rowOff>130476</xdr:rowOff>
    </xdr:from>
    <xdr:to>
      <xdr:col>1</xdr:col>
      <xdr:colOff>1857375</xdr:colOff>
      <xdr:row>5</xdr:row>
      <xdr:rowOff>23179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A9D30E-A3F6-45C0-AA0A-A513B913D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1321027" y="130476"/>
          <a:ext cx="1298348" cy="949978"/>
        </a:xfrm>
        <a:prstGeom prst="rect">
          <a:avLst/>
        </a:prstGeom>
      </xdr:spPr>
    </xdr:pic>
    <xdr:clientData/>
  </xdr:twoCellAnchor>
  <xdr:twoCellAnchor>
    <xdr:from>
      <xdr:col>0</xdr:col>
      <xdr:colOff>68035</xdr:colOff>
      <xdr:row>99</xdr:row>
      <xdr:rowOff>176893</xdr:rowOff>
    </xdr:from>
    <xdr:to>
      <xdr:col>23</xdr:col>
      <xdr:colOff>272143</xdr:colOff>
      <xdr:row>112</xdr:row>
      <xdr:rowOff>18800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426930-B3B2-4614-9BDD-1DCEBBF54176}"/>
            </a:ext>
          </a:extLst>
        </xdr:cNvPr>
        <xdr:cNvGrpSpPr/>
      </xdr:nvGrpSpPr>
      <xdr:grpSpPr>
        <a:xfrm>
          <a:off x="68035" y="19485429"/>
          <a:ext cx="19226894" cy="2318407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1702671-9D6A-A6E7-BE08-A5DFD23B2DE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65D5365F-00D4-6CF4-A477-FF1F0CCDBB7A}"/>
              </a:ext>
            </a:extLst>
          </xdr:cNvPr>
          <xdr:cNvGrpSpPr/>
        </xdr:nvGrpSpPr>
        <xdr:grpSpPr>
          <a:xfrm>
            <a:off x="543930" y="20857018"/>
            <a:ext cx="15958132" cy="1488512"/>
            <a:chOff x="1061357" y="20859750"/>
            <a:chExt cx="20332824" cy="1619250"/>
          </a:xfrm>
        </xdr:grpSpPr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36469A78-DEB3-2573-0F2B-B389C5053985}"/>
                </a:ext>
              </a:extLst>
            </xdr:cNvPr>
            <xdr:cNvSpPr/>
          </xdr:nvSpPr>
          <xdr:spPr>
            <a:xfrm>
              <a:off x="10708805" y="20859750"/>
              <a:ext cx="4506603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EABC021-F5F5-616E-72FE-02C09F3117FD}"/>
                </a:ext>
              </a:extLst>
            </xdr:cNvPr>
            <xdr:cNvSpPr txBox="1"/>
          </xdr:nvSpPr>
          <xdr:spPr>
            <a:xfrm>
              <a:off x="1061357" y="21839466"/>
              <a:ext cx="7923620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Hilaira Muñoz</a:t>
              </a: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C703656-C8BF-0504-AAAE-F8BCF08F1D5C}"/>
                </a:ext>
              </a:extLst>
            </xdr:cNvPr>
            <xdr:cNvSpPr txBox="1"/>
          </xdr:nvSpPr>
          <xdr:spPr>
            <a:xfrm>
              <a:off x="15150794" y="21929473"/>
              <a:ext cx="6243387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8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8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0606C-690A-40B2-AD82-2785374A67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17</xdr:col>
      <xdr:colOff>585108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981368-CC1E-4797-BD48-0DC5448A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1C8C87-EF8D-49C1-B7E5-30AEF9958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17</xdr:col>
      <xdr:colOff>557893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8EDE4-0E4F-4CBC-8A15-C434710C3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800866-E130-4E04-98F3-E76CA7D2C6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15</xdr:col>
      <xdr:colOff>680358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0E0C32-0D54-473B-AF4D-2DD4B6CF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36149" cy="23184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62B71-A617-43C7-AE29-79E533556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15</xdr:col>
      <xdr:colOff>680358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EC7167-B028-4913-A714-E00F613D5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25264" cy="23184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8AF2B1-6504-4457-ABB7-9EFB30E4A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14</xdr:col>
      <xdr:colOff>353786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80DB2F-DB9B-46F7-B103-B40153A0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25264" cy="231840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4049C-14D9-476B-8AB1-B1511EF4A9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103</xdr:row>
      <xdr:rowOff>40820</xdr:rowOff>
    </xdr:from>
    <xdr:to>
      <xdr:col>12</xdr:col>
      <xdr:colOff>734786</xdr:colOff>
      <xdr:row>115</xdr:row>
      <xdr:rowOff>73227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BBBF98-A078-43B1-8775-FD89F05E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4" y="20338595"/>
          <a:ext cx="22513017" cy="23184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A2E86E-D4C0-43D1-90A8-9E8F3F1FB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C5936D33-C968-BA44-06E2-7F8A9439F627}"/>
            </a:ext>
          </a:extLst>
        </xdr:cNvPr>
        <xdr:cNvGrpSpPr/>
      </xdr:nvGrpSpPr>
      <xdr:grpSpPr>
        <a:xfrm>
          <a:off x="176894" y="20383499"/>
          <a:ext cx="22533428" cy="2318407"/>
          <a:chOff x="176894" y="20383499"/>
          <a:chExt cx="22533428" cy="2318407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63B07C0-9E41-40A5-9FD3-846169C691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4385CBBB-D13F-9745-C6E1-25F16E9FABC0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FC886-D3E4-4DFF-803B-ECE6BBC5A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325A8B6-EF47-4F55-B841-17498EFDB181}"/>
            </a:ext>
          </a:extLst>
        </xdr:cNvPr>
        <xdr:cNvGrpSpPr/>
      </xdr:nvGrpSpPr>
      <xdr:grpSpPr>
        <a:xfrm>
          <a:off x="176894" y="20383499"/>
          <a:ext cx="24139071" cy="2318407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6209E002-DD8C-7531-9F95-7B8C0AC48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189F20B9-BDBE-B828-A9EE-2A84510D7024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5728BA-F370-43A0-AA28-08B953AC1D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347362-633B-4EB8-9A0B-3E3C8FB06398}"/>
            </a:ext>
          </a:extLst>
        </xdr:cNvPr>
        <xdr:cNvGrpSpPr/>
      </xdr:nvGrpSpPr>
      <xdr:grpSpPr>
        <a:xfrm>
          <a:off x="176894" y="20383499"/>
          <a:ext cx="25717500" cy="2318407"/>
          <a:chOff x="176894" y="20383499"/>
          <a:chExt cx="22533428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DD0B9E-323D-60CD-09D4-FCCA34771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6894" y="20383499"/>
            <a:ext cx="22533428" cy="2318407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6184385D-CB3F-507A-1D30-7802A890D51A}"/>
              </a:ext>
            </a:extLst>
          </xdr:cNvPr>
          <xdr:cNvSpPr/>
        </xdr:nvSpPr>
        <xdr:spPr>
          <a:xfrm>
            <a:off x="8858250" y="20859750"/>
            <a:ext cx="3714750" cy="1619250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DO" sz="1100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24BDA6-5D60-4DAD-8101-DEB9D86E6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ABAE4F51-57D0-6573-9BFF-F371A1528C4B}"/>
            </a:ext>
          </a:extLst>
        </xdr:cNvPr>
        <xdr:cNvGrpSpPr/>
      </xdr:nvGrpSpPr>
      <xdr:grpSpPr>
        <a:xfrm>
          <a:off x="176894" y="20383499"/>
          <a:ext cx="27336750" cy="2318407"/>
          <a:chOff x="176894" y="20383499"/>
          <a:chExt cx="27336750" cy="2318407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6C2B4AD2-21CB-450B-91BA-4E12DA6F30F7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4" name="Imagen 3">
              <a:extLst>
                <a:ext uri="{FF2B5EF4-FFF2-40B4-BE49-F238E27FC236}">
                  <a16:creationId xmlns:a16="http://schemas.microsoft.com/office/drawing/2014/main" id="{C0FC9440-FE42-66E3-6555-688953B2E2D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5" name="Rectángulo 4">
              <a:extLst>
                <a:ext uri="{FF2B5EF4-FFF2-40B4-BE49-F238E27FC236}">
                  <a16:creationId xmlns:a16="http://schemas.microsoft.com/office/drawing/2014/main" id="{EE729FC4-3171-9D5F-F810-30EFEC45B835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40B59115-043E-E216-842D-1EA84126123E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8C9CE28A-5B22-56A4-7F43-80B89A75DD59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FB79EF-D515-473D-9B13-B2F833805D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29A3764-A5FA-4069-BADF-3835D1C45422}"/>
            </a:ext>
          </a:extLst>
        </xdr:cNvPr>
        <xdr:cNvGrpSpPr/>
      </xdr:nvGrpSpPr>
      <xdr:grpSpPr>
        <a:xfrm>
          <a:off x="176894" y="20383499"/>
          <a:ext cx="28915178" cy="2318407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0913136-BF98-96CE-1A86-5A9164FF6FD6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67F51781-5B5C-4F6C-8066-F15AABF5BE0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AFD562B7-AB39-911B-C1C7-D1CC30E396BE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3663A45E-C2A9-FCD0-FCB6-F57443E038B3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57C40B66-3930-833A-321C-8D448937FA94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1D5C93-B62A-4060-91DE-EF4B56CA49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>
    <xdr:from>
      <xdr:col>0</xdr:col>
      <xdr:colOff>176894</xdr:colOff>
      <xdr:row>103</xdr:row>
      <xdr:rowOff>40820</xdr:rowOff>
    </xdr:from>
    <xdr:to>
      <xdr:col>16</xdr:col>
      <xdr:colOff>394608</xdr:colOff>
      <xdr:row>115</xdr:row>
      <xdr:rowOff>73227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EF5D313-FBDE-4E65-BDBE-8F54177D569C}"/>
            </a:ext>
          </a:extLst>
        </xdr:cNvPr>
        <xdr:cNvGrpSpPr/>
      </xdr:nvGrpSpPr>
      <xdr:grpSpPr>
        <a:xfrm>
          <a:off x="176894" y="20383499"/>
          <a:ext cx="30493607" cy="2318407"/>
          <a:chOff x="176894" y="20383499"/>
          <a:chExt cx="27336750" cy="2318407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08FCA55-EDAD-5770-EEF1-A626868DC3AD}"/>
              </a:ext>
            </a:extLst>
          </xdr:cNvPr>
          <xdr:cNvGrpSpPr/>
        </xdr:nvGrpSpPr>
        <xdr:grpSpPr>
          <a:xfrm>
            <a:off x="176894" y="20383499"/>
            <a:ext cx="27336750" cy="2318407"/>
            <a:chOff x="176894" y="20383499"/>
            <a:chExt cx="22533428" cy="2318407"/>
          </a:xfrm>
        </xdr:grpSpPr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A8819B01-CD5E-7CC7-87C8-AFC45D05C68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6894" y="20383499"/>
              <a:ext cx="22533428" cy="2318407"/>
            </a:xfrm>
            <a:prstGeom prst="rect">
              <a:avLst/>
            </a:prstGeom>
          </xdr:spPr>
        </xdr:pic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056E220A-D723-7824-BF8D-F80FF2145368}"/>
                </a:ext>
              </a:extLst>
            </xdr:cNvPr>
            <xdr:cNvSpPr/>
          </xdr:nvSpPr>
          <xdr:spPr>
            <a:xfrm>
              <a:off x="8858250" y="20859750"/>
              <a:ext cx="3714750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AA4A3982-060F-D8E5-EB49-934FDF2FACC2}"/>
              </a:ext>
            </a:extLst>
          </xdr:cNvPr>
          <xdr:cNvSpPr txBox="1"/>
        </xdr:nvSpPr>
        <xdr:spPr>
          <a:xfrm>
            <a:off x="1061357" y="21839466"/>
            <a:ext cx="4816929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Lic.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Hilaira Muñoz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67606FF5-B01E-68AF-EA04-CFD382BED35E}"/>
              </a:ext>
            </a:extLst>
          </xdr:cNvPr>
          <xdr:cNvSpPr txBox="1"/>
        </xdr:nvSpPr>
        <xdr:spPr>
          <a:xfrm>
            <a:off x="21431249" y="21825857"/>
            <a:ext cx="4680858" cy="476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Ing.</a:t>
            </a:r>
            <a:r>
              <a:rPr lang="es-DO" sz="2800" baseline="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 </a:t>
            </a:r>
            <a:r>
              <a:rPr lang="es-DO" sz="2800">
                <a:latin typeface="72 Black" panose="020B0A04030603020204" pitchFamily="34" charset="0"/>
                <a:ea typeface="ADLaM Display" panose="020F0502020204030204" pitchFamily="2" charset="0"/>
                <a:cs typeface="72 Black" panose="020B0A04030603020204" pitchFamily="34" charset="0"/>
              </a:rPr>
              <a:t>Juan Julia Calac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/Users/hilaria.munoz/AppData/Local/Temp/eb7bdc5e-dd13-484f-ae9a-33fc7fd70ded_ufUy7-EG004_00107008310_20240320112938_wAdKL.xlsx.zip.ded/EG004_00107008310_20240320112938_wAdK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501093130_ohSTb.xlsx" TargetMode="External"/><Relationship Id="rId1" Type="http://schemas.openxmlformats.org/officeDocument/2006/relationships/externalLinkPath" Target="/Users/juan.noyola/AppData/Local/Microsoft/Windows/INetCache/Content.Outlook/N8W3GB6Z/EG004_00107008310_20240501093130_ohST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/Users/juan.noyola/AppData/Local/Microsoft/Windows/INetCache/Content.Outlook/N8W3GB6Z/EG004_00107008310_20240401114325_dYsix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304XBBRD\EG004_00107008310_20240603084034_ZaGJR.xlsx" TargetMode="External"/><Relationship Id="rId1" Type="http://schemas.openxmlformats.org/officeDocument/2006/relationships/externalLinkPath" Target="/Users/juan.noyola/AppData/Local/Microsoft/Windows/INetCache/Content.Outlook/304XBBRD/EG004_00107008310_20240603084034_ZaGJ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Z65GID0M\EG004_00107008310_20240902083701_dGDcU.xlsx" TargetMode="External"/><Relationship Id="rId1" Type="http://schemas.openxmlformats.org/officeDocument/2006/relationships/externalLinkPath" Target="/Users/juan.noyola/AppData/Local/Microsoft/Windows/INetCache/Content.Outlook/Z65GID0M/EG004_00107008310_20240902083701_dGD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8">
          <cell r="B8" t="str">
            <v>2.1-REMUNERACIONES Y CONTRIBUCIONES</v>
          </cell>
          <cell r="C8">
            <v>515327292.88999999</v>
          </cell>
          <cell r="D8">
            <v>122453982.7</v>
          </cell>
          <cell r="E8">
            <v>128261060.55</v>
          </cell>
          <cell r="F8">
            <v>134224622.49000001</v>
          </cell>
          <cell r="G8">
            <v>130387627.15000001</v>
          </cell>
        </row>
        <row r="9">
          <cell r="B9" t="str">
            <v>2.1.1-REMUNERACIONES</v>
          </cell>
          <cell r="C9">
            <v>430529152.75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</row>
        <row r="10">
          <cell r="B10" t="str">
            <v>2.1.2-SOBRESUELDOS</v>
          </cell>
          <cell r="C10">
            <v>21196500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</row>
        <row r="11">
          <cell r="B11" t="str">
            <v>2.1.5-CONTRIBUCIONES A LA SEGURIDAD SOCIAL</v>
          </cell>
          <cell r="C11">
            <v>63601640.140000001</v>
          </cell>
          <cell r="D11">
            <v>15492558.199999999</v>
          </cell>
          <cell r="E11">
            <v>16077926.82</v>
          </cell>
          <cell r="F11">
            <v>15942678.369999999</v>
          </cell>
          <cell r="G11">
            <v>16088476.75</v>
          </cell>
        </row>
        <row r="12">
          <cell r="B12" t="str">
            <v>2.2-CONTRATACIÓN DE SERVICIOS</v>
          </cell>
          <cell r="C12">
            <v>294935979.29000002</v>
          </cell>
          <cell r="D12">
            <v>40556595.619999997</v>
          </cell>
          <cell r="E12">
            <v>91554973.599999994</v>
          </cell>
          <cell r="F12">
            <v>58426049.240000002</v>
          </cell>
          <cell r="G12">
            <v>104398360.83</v>
          </cell>
        </row>
        <row r="13">
          <cell r="B13" t="str">
            <v>2.2.1-SERVICIOS BÁSICOS</v>
          </cell>
          <cell r="C13">
            <v>10794708.689999999</v>
          </cell>
          <cell r="D13">
            <v>2264859.66</v>
          </cell>
          <cell r="E13">
            <v>3292183.41</v>
          </cell>
          <cell r="F13">
            <v>3256830.57</v>
          </cell>
          <cell r="G13">
            <v>1980835.05</v>
          </cell>
        </row>
        <row r="14">
          <cell r="B14" t="str">
            <v>2.2.2-PUBLICIDAD, IMPRESIÓN Y ENCUADERNACIÓN</v>
          </cell>
          <cell r="C14">
            <v>79027831.530000001</v>
          </cell>
          <cell r="D14">
            <v>17951984.289999999</v>
          </cell>
          <cell r="E14">
            <v>15747515.140000001</v>
          </cell>
          <cell r="F14">
            <v>14964572.1</v>
          </cell>
          <cell r="G14">
            <v>30363760</v>
          </cell>
        </row>
        <row r="15">
          <cell r="B15" t="str">
            <v>2.2.3-VIÁTICOS</v>
          </cell>
          <cell r="C15">
            <v>9119116.5999999996</v>
          </cell>
          <cell r="D15">
            <v>2072860</v>
          </cell>
          <cell r="E15">
            <v>2088557.5</v>
          </cell>
          <cell r="F15">
            <v>2691367</v>
          </cell>
          <cell r="G15">
            <v>2266332.1</v>
          </cell>
        </row>
        <row r="16">
          <cell r="B16" t="str">
            <v>2.2.4-TRANSPORTE Y ALMACENAJE</v>
          </cell>
          <cell r="C16">
            <v>18942698.399999999</v>
          </cell>
          <cell r="D16">
            <v>0</v>
          </cell>
          <cell r="E16">
            <v>11645378.4</v>
          </cell>
          <cell r="F16">
            <v>4421000</v>
          </cell>
          <cell r="G16">
            <v>2876320</v>
          </cell>
        </row>
        <row r="17">
          <cell r="B17" t="str">
            <v>2.2.5-ALQUILERES Y RENTAS</v>
          </cell>
          <cell r="C17">
            <v>22546307.27</v>
          </cell>
          <cell r="D17">
            <v>5971519.7999999998</v>
          </cell>
          <cell r="E17">
            <v>5563822.1699999999</v>
          </cell>
          <cell r="F17">
            <v>4491072.33</v>
          </cell>
          <cell r="G17">
            <v>6519892.9699999997</v>
          </cell>
        </row>
        <row r="18">
          <cell r="B18" t="str">
            <v>2.2.6-SEGUROS</v>
          </cell>
          <cell r="C18">
            <v>38277751.039999999</v>
          </cell>
          <cell r="D18">
            <v>3437155.26</v>
          </cell>
          <cell r="E18">
            <v>3223259.88</v>
          </cell>
          <cell r="F18">
            <v>14361456.9</v>
          </cell>
          <cell r="G18">
            <v>17255879</v>
          </cell>
        </row>
        <row r="19">
          <cell r="B19" t="str">
            <v>2.2.7-SERVICIOS DE CONSERVACIÓN, REPARACIONES MENORES E INSTALACIONES TEMPORALES</v>
          </cell>
          <cell r="C19">
            <v>5969450.2599999998</v>
          </cell>
          <cell r="D19">
            <v>605822.69999999995</v>
          </cell>
          <cell r="E19">
            <v>1880175.92</v>
          </cell>
          <cell r="F19">
            <v>2486537.85</v>
          </cell>
          <cell r="G19">
            <v>996913.79</v>
          </cell>
        </row>
        <row r="20">
          <cell r="B20" t="str">
            <v>2.2.8-OTROS SERVICIOS NO INCLUIDOS EN CONCEPTOS ANTERIORES</v>
          </cell>
          <cell r="C20">
            <v>92808369.920000002</v>
          </cell>
          <cell r="D20">
            <v>5604429.3499999996</v>
          </cell>
          <cell r="E20">
            <v>41391480.850000001</v>
          </cell>
          <cell r="F20">
            <v>10170603.68</v>
          </cell>
          <cell r="G20">
            <v>35641856.039999999</v>
          </cell>
        </row>
        <row r="21">
          <cell r="B21" t="str">
            <v>2.2.9-OTRAS CONTRATACIONES DE SERVICIOS</v>
          </cell>
          <cell r="C21">
            <v>17449745.579999998</v>
          </cell>
          <cell r="D21">
            <v>2647964.56</v>
          </cell>
          <cell r="E21">
            <v>6722600.3300000001</v>
          </cell>
          <cell r="F21">
            <v>1582608.81</v>
          </cell>
          <cell r="G21">
            <v>6496571.8799999999</v>
          </cell>
        </row>
        <row r="22">
          <cell r="B22" t="str">
            <v>2.3-MATERIALES Y SUMINISTROS</v>
          </cell>
          <cell r="C22">
            <v>179807131.06999999</v>
          </cell>
          <cell r="D22">
            <v>3027970.37</v>
          </cell>
          <cell r="E22">
            <v>86053694.75</v>
          </cell>
          <cell r="F22">
            <v>77158710.769999996</v>
          </cell>
          <cell r="G22">
            <v>13566755.18</v>
          </cell>
        </row>
        <row r="23">
          <cell r="B23" t="str">
            <v>2.3.1-ALIMENTOS Y PRODUCTOS AGROFORESTALES</v>
          </cell>
          <cell r="C23">
            <v>50903578.75</v>
          </cell>
          <cell r="D23">
            <v>491955.4</v>
          </cell>
          <cell r="E23">
            <v>6762538.2199999997</v>
          </cell>
          <cell r="F23">
            <v>36363680.960000001</v>
          </cell>
          <cell r="G23">
            <v>7285404.1699999999</v>
          </cell>
        </row>
        <row r="24">
          <cell r="B24" t="str">
            <v>2.3.2-TEXTILES Y VESTUARIOS</v>
          </cell>
          <cell r="C24">
            <v>1321790.28</v>
          </cell>
          <cell r="D24">
            <v>0</v>
          </cell>
          <cell r="E24">
            <v>929250</v>
          </cell>
          <cell r="F24">
            <v>279070</v>
          </cell>
          <cell r="G24">
            <v>113470.28</v>
          </cell>
        </row>
        <row r="25">
          <cell r="B25" t="str">
            <v>2.3.3-PAPEL, CARTÓN E IMPRESOS</v>
          </cell>
          <cell r="C25">
            <v>1131210.54</v>
          </cell>
          <cell r="D25">
            <v>396554.34</v>
          </cell>
          <cell r="E25">
            <v>0</v>
          </cell>
          <cell r="F25">
            <v>0</v>
          </cell>
          <cell r="G25">
            <v>734656.2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 t="str">
            <v>2.3.5-CUERO, CAUCHO Y PLÁSTICO</v>
          </cell>
          <cell r="C27">
            <v>840008.11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</row>
        <row r="28">
          <cell r="B28" t="str">
            <v>2.3.6-PRODUCTOS DE MINERALES, METÁLICOS Y NO METÁLICOS</v>
          </cell>
          <cell r="C28">
            <v>106021514.81999999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3115789.7</v>
          </cell>
        </row>
        <row r="29">
          <cell r="B29" t="str">
            <v>2.3.7-COMBUSTIBLES, LUBRICANTES, PRODUCTOS QUÍMICOS Y CONEXOS</v>
          </cell>
          <cell r="C29">
            <v>6923248.0499999998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</row>
        <row r="30">
          <cell r="B30" t="str">
            <v>2.3.9-PRODUCTOS Y ÚTILES VARIOS</v>
          </cell>
          <cell r="C30">
            <v>12665780.52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  <cell r="G31">
            <v>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</row>
        <row r="33">
          <cell r="B33" t="str">
            <v>2.5-TRANSFERENCIAS DE CAPITAL</v>
          </cell>
          <cell r="C33">
            <v>1122429475</v>
          </cell>
          <cell r="D33">
            <v>0</v>
          </cell>
          <cell r="E33">
            <v>300000000</v>
          </cell>
          <cell r="F33">
            <v>553513392</v>
          </cell>
          <cell r="G33">
            <v>268916083</v>
          </cell>
        </row>
        <row r="34">
          <cell r="B34" t="str">
            <v>2.5.4-TRANSFERENCIAS DE CAPITAL  A EMPRESAS PÚBLICAS NO FINANCIERAS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</row>
        <row r="35">
          <cell r="B35" t="str">
            <v>2.6-BIENES MUEBLES, INMUEBLES E INTANGIBLES</v>
          </cell>
          <cell r="C35">
            <v>715084968.45000005</v>
          </cell>
          <cell r="D35">
            <v>102908557.17</v>
          </cell>
          <cell r="E35">
            <v>396055915.39999998</v>
          </cell>
          <cell r="F35">
            <v>42956193.960000001</v>
          </cell>
          <cell r="G35">
            <v>173164301.91999999</v>
          </cell>
        </row>
        <row r="36">
          <cell r="B36" t="str">
            <v>2.6.1-MOBILIARIO Y EQUIPO</v>
          </cell>
          <cell r="C36">
            <v>78987798.650000006</v>
          </cell>
          <cell r="D36">
            <v>17901662.170000002</v>
          </cell>
          <cell r="E36">
            <v>347313.43</v>
          </cell>
          <cell r="F36">
            <v>40726931.920000002</v>
          </cell>
          <cell r="G36">
            <v>20011891.129999999</v>
          </cell>
        </row>
        <row r="37">
          <cell r="B37" t="str">
            <v>2.6.2-MOBILIARIO Y EQUIPO DE AUDIO, AUDIOVISUAL, RECREATIVO Y EDUCACIONAL</v>
          </cell>
          <cell r="C37">
            <v>2656931.58</v>
          </cell>
          <cell r="D37">
            <v>131605.4</v>
          </cell>
          <cell r="E37">
            <v>505065.24</v>
          </cell>
          <cell r="F37">
            <v>0</v>
          </cell>
          <cell r="G37">
            <v>2020260.94</v>
          </cell>
        </row>
        <row r="38">
          <cell r="B38" t="str">
            <v>2.6.3-EQUIPO E INSTRUMENTAL, CIENTÍFICO Y LABORATORIO</v>
          </cell>
          <cell r="C38">
            <v>505342181.19999999</v>
          </cell>
          <cell r="D38">
            <v>84622113.519999996</v>
          </cell>
          <cell r="E38">
            <v>313342545.11000001</v>
          </cell>
          <cell r="F38">
            <v>0</v>
          </cell>
          <cell r="G38">
            <v>107377522.56999999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 t="str">
            <v>2.6.5-MAQUINARIA, OTROS EQUIPOS Y HERRAMIENTAS</v>
          </cell>
          <cell r="C40">
            <v>121930764.91</v>
          </cell>
          <cell r="D40">
            <v>253176.08</v>
          </cell>
          <cell r="E40">
            <v>80897588.549999997</v>
          </cell>
          <cell r="F40">
            <v>2229262.04</v>
          </cell>
          <cell r="G40">
            <v>38550738.240000002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 t="str">
            <v>2.6.8-BIENES INTANGIBLES</v>
          </cell>
          <cell r="C42">
            <v>39772.04</v>
          </cell>
          <cell r="D42">
            <v>0</v>
          </cell>
          <cell r="E42">
            <v>0</v>
          </cell>
          <cell r="F42">
            <v>0</v>
          </cell>
          <cell r="G42">
            <v>39772.04</v>
          </cell>
        </row>
        <row r="43">
          <cell r="B43" t="str">
            <v>2.6.9-EDIFICIOS, ESTRUCTURAS, TIERRAS, TERRENOS Y OBJETOS DE VALOR</v>
          </cell>
          <cell r="C43">
            <v>6127520.0700000003</v>
          </cell>
          <cell r="D43">
            <v>0</v>
          </cell>
          <cell r="E43">
            <v>963403.07</v>
          </cell>
          <cell r="F43">
            <v>0</v>
          </cell>
          <cell r="G43">
            <v>5164117</v>
          </cell>
        </row>
        <row r="44">
          <cell r="B44" t="str">
            <v>2.7-OBRAS</v>
          </cell>
          <cell r="C44">
            <v>2462034302.3600001</v>
          </cell>
          <cell r="D44">
            <v>290900959.35000002</v>
          </cell>
          <cell r="E44">
            <v>578304858.13999999</v>
          </cell>
          <cell r="F44">
            <v>368276708.08999997</v>
          </cell>
          <cell r="G44">
            <v>1224551776.78</v>
          </cell>
        </row>
        <row r="45">
          <cell r="B45" t="str">
            <v>2.7.1-OBRAS EN EDIFICACIONES</v>
          </cell>
          <cell r="C45">
            <v>2234671041.5999999</v>
          </cell>
          <cell r="D45">
            <v>290900959.35000002</v>
          </cell>
          <cell r="E45">
            <v>578304858.13999999</v>
          </cell>
          <cell r="F45">
            <v>193313225.71000001</v>
          </cell>
          <cell r="G45">
            <v>1172151998.4000001</v>
          </cell>
        </row>
        <row r="46">
          <cell r="B46" t="str">
            <v>2.7.2-INFRAESTRUCTURA</v>
          </cell>
          <cell r="C46">
            <v>227363260.75999999</v>
          </cell>
          <cell r="D46">
            <v>0</v>
          </cell>
          <cell r="E46">
            <v>0</v>
          </cell>
          <cell r="F46">
            <v>174963482.38</v>
          </cell>
          <cell r="G46">
            <v>52399778.380000003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27">
          <cell r="B27" t="str">
            <v>2.3.5-CUERO, CAUCHO Y PLÁSTICO</v>
          </cell>
          <cell r="C27">
            <v>908575.98</v>
          </cell>
          <cell r="D27">
            <v>0</v>
          </cell>
          <cell r="E27">
            <v>42055.199999999997</v>
          </cell>
          <cell r="F27">
            <v>330400</v>
          </cell>
          <cell r="G27">
            <v>467552.91</v>
          </cell>
          <cell r="H27">
            <v>68567.87</v>
          </cell>
        </row>
        <row r="28">
          <cell r="B28" t="str">
            <v>2.3.6-PRODUCTOS DE MINERALES, METÁLICOS Y NO METÁLICOS</v>
          </cell>
          <cell r="C28">
            <v>200769057.22</v>
          </cell>
          <cell r="D28">
            <v>81378.460000000006</v>
          </cell>
          <cell r="E28">
            <v>75448415.819999993</v>
          </cell>
          <cell r="F28">
            <v>27375930.84</v>
          </cell>
          <cell r="G28">
            <v>29085064.550000001</v>
          </cell>
          <cell r="H28">
            <v>68778267.549999997</v>
          </cell>
        </row>
        <row r="29">
          <cell r="B29" t="str">
            <v>2.3.7-COMBUSTIBLES, LUBRICANTES, PRODUCTOS QUÍMICOS Y CONEXOS</v>
          </cell>
          <cell r="C29">
            <v>10200864.460000001</v>
          </cell>
          <cell r="D29">
            <v>984457.46</v>
          </cell>
          <cell r="E29">
            <v>1763227.52</v>
          </cell>
          <cell r="F29">
            <v>2619419.79</v>
          </cell>
          <cell r="G29">
            <v>1556143.28</v>
          </cell>
          <cell r="H29">
            <v>3277616.41</v>
          </cell>
        </row>
        <row r="30">
          <cell r="B30" t="str">
            <v>2.3.9-PRODUCTOS Y ÚTILES VARIOS</v>
          </cell>
          <cell r="C30">
            <v>13682971.949999999</v>
          </cell>
          <cell r="D30">
            <v>1073624.71</v>
          </cell>
          <cell r="E30">
            <v>1108207.99</v>
          </cell>
          <cell r="F30">
            <v>10190209.18</v>
          </cell>
          <cell r="G30">
            <v>293738.64</v>
          </cell>
          <cell r="H30">
            <v>1017191.43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863220883.84000003</v>
          </cell>
          <cell r="D9">
            <v>101617924.5</v>
          </cell>
          <cell r="E9">
            <v>106885633.73</v>
          </cell>
          <cell r="F9">
            <v>112996444.12</v>
          </cell>
          <cell r="G9">
            <v>109029150.40000001</v>
          </cell>
          <cell r="H9">
            <v>107339122.09</v>
          </cell>
          <cell r="I9">
            <v>107204080.5</v>
          </cell>
          <cell r="J9">
            <v>107798391.31</v>
          </cell>
          <cell r="K9">
            <v>110350137.19</v>
          </cell>
        </row>
        <row r="10">
          <cell r="B10" t="str">
            <v>2.1.2-SOBRESUELDOS</v>
          </cell>
          <cell r="C10">
            <v>133967088.28</v>
          </cell>
          <cell r="D10">
            <v>5343500</v>
          </cell>
          <cell r="E10">
            <v>5297500</v>
          </cell>
          <cell r="F10">
            <v>5285500</v>
          </cell>
          <cell r="G10">
            <v>5270000</v>
          </cell>
          <cell r="H10">
            <v>91201588.280000001</v>
          </cell>
          <cell r="I10">
            <v>7709000</v>
          </cell>
          <cell r="J10">
            <v>6863000</v>
          </cell>
          <cell r="K10">
            <v>6997000</v>
          </cell>
        </row>
        <row r="11">
          <cell r="B11" t="str">
            <v>2.1.3-DIETAS Y GASTOS DE REPRESENTACIÓN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2.1.5-CONTRIBUCIONES A LA SEGURIDAD SOCIAL</v>
          </cell>
          <cell r="C12">
            <v>129125717.66</v>
          </cell>
          <cell r="D12">
            <v>15492558.199999999</v>
          </cell>
          <cell r="E12">
            <v>16077926.82</v>
          </cell>
          <cell r="F12">
            <v>15942678.369999999</v>
          </cell>
          <cell r="G12">
            <v>16088476.75</v>
          </cell>
          <cell r="H12">
            <v>16215740.619999999</v>
          </cell>
          <cell r="I12">
            <v>16267385.1</v>
          </cell>
          <cell r="J12">
            <v>16368278.630000001</v>
          </cell>
          <cell r="K12">
            <v>16672673.17</v>
          </cell>
        </row>
        <row r="13">
          <cell r="B13" t="str">
            <v>2.2-CONTRATACIÓN DE SERVICIOS</v>
          </cell>
          <cell r="C13">
            <v>616731088.33000004</v>
          </cell>
          <cell r="D13">
            <v>40556595.619999997</v>
          </cell>
          <cell r="E13">
            <v>91554973.599999994</v>
          </cell>
          <cell r="F13">
            <v>57668012.759999998</v>
          </cell>
          <cell r="G13">
            <v>113928389.41</v>
          </cell>
          <cell r="H13">
            <v>86679827.090000004</v>
          </cell>
          <cell r="I13">
            <v>138000426.12</v>
          </cell>
          <cell r="J13">
            <v>64621000.840000004</v>
          </cell>
          <cell r="K13">
            <v>23721862.890000001</v>
          </cell>
        </row>
        <row r="14">
          <cell r="B14" t="str">
            <v>2.2.1-SERVICIOS BÁSICOS</v>
          </cell>
          <cell r="C14">
            <v>25697116</v>
          </cell>
          <cell r="D14">
            <v>2264859.66</v>
          </cell>
          <cell r="E14">
            <v>3292183.41</v>
          </cell>
          <cell r="F14">
            <v>3256830.57</v>
          </cell>
          <cell r="G14">
            <v>1980835.05</v>
          </cell>
          <cell r="H14">
            <v>4331636.8899999997</v>
          </cell>
          <cell r="I14">
            <v>3514146.67</v>
          </cell>
          <cell r="J14">
            <v>3538764.56</v>
          </cell>
          <cell r="K14">
            <v>3517859.19</v>
          </cell>
        </row>
        <row r="15">
          <cell r="B15" t="str">
            <v>2.2.2-PUBLICIDAD, IMPRESIÓN Y ENCUADERNACIÓN</v>
          </cell>
          <cell r="C15">
            <v>110005504.45999999</v>
          </cell>
          <cell r="D15">
            <v>17951984.289999999</v>
          </cell>
          <cell r="E15">
            <v>15747515.140000001</v>
          </cell>
          <cell r="F15">
            <v>14964572.1</v>
          </cell>
          <cell r="G15">
            <v>40505360</v>
          </cell>
          <cell r="H15">
            <v>16178980</v>
          </cell>
          <cell r="I15">
            <v>2883717.51</v>
          </cell>
          <cell r="J15">
            <v>478375.42</v>
          </cell>
          <cell r="K15">
            <v>1295000</v>
          </cell>
        </row>
        <row r="16">
          <cell r="B16" t="str">
            <v>2.2.3-VIÁTICOS</v>
          </cell>
          <cell r="C16">
            <v>21659923.940000001</v>
          </cell>
          <cell r="D16">
            <v>2072860</v>
          </cell>
          <cell r="E16">
            <v>2088557.5</v>
          </cell>
          <cell r="F16">
            <v>2691367</v>
          </cell>
          <cell r="G16">
            <v>2722562.1</v>
          </cell>
          <cell r="H16">
            <v>3811315.02</v>
          </cell>
          <cell r="I16">
            <v>2265192</v>
          </cell>
          <cell r="J16">
            <v>3725260</v>
          </cell>
          <cell r="K16">
            <v>2282810.3199999998</v>
          </cell>
        </row>
        <row r="17">
          <cell r="B17" t="str">
            <v>2.2.4-TRANSPORTE Y ALMACENAJE</v>
          </cell>
          <cell r="C17">
            <v>37190685.990000002</v>
          </cell>
          <cell r="D17">
            <v>0</v>
          </cell>
          <cell r="E17">
            <v>11645378.4</v>
          </cell>
          <cell r="F17">
            <v>4421000</v>
          </cell>
          <cell r="G17">
            <v>2876320</v>
          </cell>
          <cell r="H17">
            <v>6578804.7999999998</v>
          </cell>
          <cell r="I17">
            <v>6102624.96</v>
          </cell>
          <cell r="J17">
            <v>5389057.8300000001</v>
          </cell>
          <cell r="K17">
            <v>177500</v>
          </cell>
        </row>
        <row r="18">
          <cell r="B18" t="str">
            <v>2.2.5-ALQUILERES Y RENTAS</v>
          </cell>
          <cell r="C18">
            <v>101725100.52</v>
          </cell>
          <cell r="D18">
            <v>5971519.7999999998</v>
          </cell>
          <cell r="E18">
            <v>5563822.1699999999</v>
          </cell>
          <cell r="F18">
            <v>4491072.33</v>
          </cell>
          <cell r="G18">
            <v>6519892.9699999997</v>
          </cell>
          <cell r="H18">
            <v>6799102.7800000003</v>
          </cell>
          <cell r="I18">
            <v>55019091.840000004</v>
          </cell>
          <cell r="J18">
            <v>12769544.9</v>
          </cell>
          <cell r="K18">
            <v>4591053.7300000004</v>
          </cell>
        </row>
        <row r="19">
          <cell r="B19" t="str">
            <v>2.2.6-SEGUROS</v>
          </cell>
          <cell r="C19">
            <v>52616914.890000001</v>
          </cell>
          <cell r="D19">
            <v>3437155.26</v>
          </cell>
          <cell r="E19">
            <v>3223259.88</v>
          </cell>
          <cell r="F19">
            <v>14361456.9</v>
          </cell>
          <cell r="G19">
            <v>17255879</v>
          </cell>
          <cell r="H19">
            <v>3569991.8</v>
          </cell>
          <cell r="I19">
            <v>3418116.05</v>
          </cell>
          <cell r="J19">
            <v>3470515.45</v>
          </cell>
          <cell r="K19">
            <v>3880540.55</v>
          </cell>
        </row>
        <row r="20">
          <cell r="B20" t="str">
            <v>2.2.7-SERVICIOS DE CONSERVACIÓN, REPARACIONES MENORES E INSTALACIONES TEMPORALES</v>
          </cell>
          <cell r="C20">
            <v>13282360.99</v>
          </cell>
          <cell r="D20">
            <v>605822.69999999995</v>
          </cell>
          <cell r="E20">
            <v>1880175.92</v>
          </cell>
          <cell r="F20">
            <v>2486537.85</v>
          </cell>
          <cell r="G20">
            <v>1013752.37</v>
          </cell>
          <cell r="H20">
            <v>2872269.89</v>
          </cell>
          <cell r="I20">
            <v>2031863.71</v>
          </cell>
          <cell r="J20">
            <v>1262002.99</v>
          </cell>
          <cell r="K20">
            <v>1129935.56</v>
          </cell>
        </row>
        <row r="21">
          <cell r="B21" t="str">
            <v>2.2.8-OTROS SERVICIOS NO INCLUIDOS EN CONCEPTOS ANTERIORES</v>
          </cell>
          <cell r="C21">
            <v>223727153.72</v>
          </cell>
          <cell r="D21">
            <v>5604429.3499999996</v>
          </cell>
          <cell r="E21">
            <v>41391480.850000001</v>
          </cell>
          <cell r="F21">
            <v>9412567.1999999993</v>
          </cell>
          <cell r="G21">
            <v>34557216.039999999</v>
          </cell>
          <cell r="H21">
            <v>36282090.130000003</v>
          </cell>
          <cell r="I21">
            <v>62466701.439999998</v>
          </cell>
          <cell r="J21">
            <v>30215909.829999998</v>
          </cell>
          <cell r="K21">
            <v>3796758.88</v>
          </cell>
        </row>
        <row r="22">
          <cell r="B22" t="str">
            <v>2.2.9-OTRAS CONTRATACIONES DE SERVICIOS</v>
          </cell>
          <cell r="C22">
            <v>30826327.82</v>
          </cell>
          <cell r="D22">
            <v>2647964.56</v>
          </cell>
          <cell r="E22">
            <v>6722600.3300000001</v>
          </cell>
          <cell r="F22">
            <v>1582608.81</v>
          </cell>
          <cell r="G22">
            <v>6496571.8799999999</v>
          </cell>
          <cell r="H22">
            <v>6255635.7800000003</v>
          </cell>
          <cell r="I22">
            <v>298971.94</v>
          </cell>
          <cell r="J22">
            <v>3771569.86</v>
          </cell>
          <cell r="K22">
            <v>3050404.66</v>
          </cell>
        </row>
        <row r="23">
          <cell r="B23" t="str">
            <v>2.3-MATERIALES Y SUMINISTROS</v>
          </cell>
          <cell r="C23">
            <v>411118702.07999998</v>
          </cell>
          <cell r="D23">
            <v>3027970.37</v>
          </cell>
          <cell r="E23">
            <v>86053694.75</v>
          </cell>
          <cell r="F23">
            <v>77158710.769999996</v>
          </cell>
          <cell r="G23">
            <v>44307623.409999996</v>
          </cell>
          <cell r="H23">
            <v>89385847.239999995</v>
          </cell>
          <cell r="I23">
            <v>79366224.799999997</v>
          </cell>
          <cell r="J23">
            <v>4076391.06</v>
          </cell>
          <cell r="K23">
            <v>27742239.68</v>
          </cell>
        </row>
        <row r="24">
          <cell r="B24" t="str">
            <v>2.3.1-ALIMENTOS Y PRODUCTOS AGROFORESTALES</v>
          </cell>
          <cell r="C24">
            <v>108843356.76000001</v>
          </cell>
          <cell r="D24">
            <v>491955.4</v>
          </cell>
          <cell r="E24">
            <v>6762538.2199999997</v>
          </cell>
          <cell r="F24">
            <v>36363680.960000001</v>
          </cell>
          <cell r="G24">
            <v>12056997.550000001</v>
          </cell>
          <cell r="H24">
            <v>14207338.43</v>
          </cell>
          <cell r="I24">
            <v>37472254.020000003</v>
          </cell>
          <cell r="J24">
            <v>1305802.18</v>
          </cell>
          <cell r="K24">
            <v>182790</v>
          </cell>
        </row>
        <row r="25">
          <cell r="B25" t="str">
            <v>2.3.2-TEXTILES Y VESTUARIOS</v>
          </cell>
          <cell r="C25">
            <v>4541198.49</v>
          </cell>
          <cell r="D25">
            <v>0</v>
          </cell>
          <cell r="E25">
            <v>929250</v>
          </cell>
          <cell r="F25">
            <v>279070</v>
          </cell>
          <cell r="G25">
            <v>113470.28</v>
          </cell>
          <cell r="H25">
            <v>1156984.22</v>
          </cell>
          <cell r="I25">
            <v>388072.5</v>
          </cell>
          <cell r="J25">
            <v>225612.39</v>
          </cell>
          <cell r="K25">
            <v>1448739.1</v>
          </cell>
        </row>
        <row r="26">
          <cell r="B26" t="str">
            <v>2.3.3-PAPEL, CARTÓN E IMPRESOS</v>
          </cell>
          <cell r="C26">
            <v>2282213.4300000002</v>
          </cell>
          <cell r="D26">
            <v>396554.34</v>
          </cell>
          <cell r="E26">
            <v>0</v>
          </cell>
          <cell r="F26">
            <v>0</v>
          </cell>
          <cell r="G26">
            <v>734656.2</v>
          </cell>
          <cell r="H26">
            <v>763633.99</v>
          </cell>
          <cell r="I26">
            <v>0</v>
          </cell>
          <cell r="J26">
            <v>387368.9</v>
          </cell>
          <cell r="K26">
            <v>0</v>
          </cell>
        </row>
        <row r="27">
          <cell r="B27" t="str">
            <v>2.3.4-PRODUCTOS FARMACÉUTICOS</v>
          </cell>
          <cell r="C27">
            <v>117251.94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116247.34</v>
          </cell>
          <cell r="I27">
            <v>0</v>
          </cell>
          <cell r="J27">
            <v>1004.6</v>
          </cell>
          <cell r="K27">
            <v>0</v>
          </cell>
        </row>
        <row r="28">
          <cell r="B28" t="str">
            <v>2.3.5-CUERO, CAUCHO Y PLÁSTICO</v>
          </cell>
          <cell r="C28">
            <v>1193506.6200000001</v>
          </cell>
          <cell r="D28">
            <v>0</v>
          </cell>
          <cell r="E28">
            <v>42055.199999999997</v>
          </cell>
          <cell r="F28">
            <v>330400</v>
          </cell>
          <cell r="G28">
            <v>467552.91</v>
          </cell>
          <cell r="H28">
            <v>68567.87</v>
          </cell>
          <cell r="I28">
            <v>0</v>
          </cell>
          <cell r="J28">
            <v>52470.64</v>
          </cell>
          <cell r="K28">
            <v>232460</v>
          </cell>
        </row>
        <row r="29">
          <cell r="B29" t="str">
            <v>2.3.6-PRODUCTOS DE MINERALES, METÁLICOS Y NO METÁLICOS</v>
          </cell>
          <cell r="C29">
            <v>264459538.31</v>
          </cell>
          <cell r="D29">
            <v>81378.460000000006</v>
          </cell>
          <cell r="E29">
            <v>75448415.819999993</v>
          </cell>
          <cell r="F29">
            <v>27375930.84</v>
          </cell>
          <cell r="G29">
            <v>29085064.550000001</v>
          </cell>
          <cell r="H29">
            <v>68778267.549999997</v>
          </cell>
          <cell r="I29">
            <v>39508899.950000003</v>
          </cell>
          <cell r="J29">
            <v>114110.41</v>
          </cell>
          <cell r="K29">
            <v>24067470.73</v>
          </cell>
        </row>
        <row r="30">
          <cell r="B30" t="str">
            <v>2.3.7-COMBUSTIBLES, LUBRICANTES, PRODUCTOS QUÍMICOS Y CONEXOS</v>
          </cell>
          <cell r="C30">
            <v>13439867.34</v>
          </cell>
          <cell r="D30">
            <v>984457.46</v>
          </cell>
          <cell r="E30">
            <v>1763227.52</v>
          </cell>
          <cell r="F30">
            <v>2619419.79</v>
          </cell>
          <cell r="G30">
            <v>1556143.28</v>
          </cell>
          <cell r="H30">
            <v>3277616.41</v>
          </cell>
          <cell r="I30">
            <v>1329380.75</v>
          </cell>
          <cell r="J30">
            <v>840852.22</v>
          </cell>
          <cell r="K30">
            <v>1068769.9099999999</v>
          </cell>
        </row>
        <row r="31">
          <cell r="B31" t="str">
            <v>2.3.9-PRODUCTOS Y ÚTILES VARIOS</v>
          </cell>
          <cell r="C31">
            <v>16241769.189999999</v>
          </cell>
          <cell r="D31">
            <v>1073624.71</v>
          </cell>
          <cell r="E31">
            <v>1108207.99</v>
          </cell>
          <cell r="F31">
            <v>10190209.18</v>
          </cell>
          <cell r="G31">
            <v>293738.64</v>
          </cell>
          <cell r="H31">
            <v>1017191.43</v>
          </cell>
          <cell r="I31">
            <v>667617.57999999996</v>
          </cell>
          <cell r="J31">
            <v>1149169.72</v>
          </cell>
          <cell r="K31">
            <v>742009.94</v>
          </cell>
        </row>
        <row r="32">
          <cell r="B32" t="str">
            <v>2.4-TRANSFERENCIAS CORRIENTES</v>
          </cell>
          <cell r="C32">
            <v>23000000</v>
          </cell>
          <cell r="D32">
            <v>0</v>
          </cell>
          <cell r="E32">
            <v>5000000</v>
          </cell>
          <cell r="F32">
            <v>5500000</v>
          </cell>
          <cell r="G32">
            <v>0</v>
          </cell>
          <cell r="H32">
            <v>5000000</v>
          </cell>
          <cell r="I32">
            <v>0</v>
          </cell>
          <cell r="J32">
            <v>0</v>
          </cell>
          <cell r="K32">
            <v>7500000</v>
          </cell>
        </row>
        <row r="33">
          <cell r="B33" t="str">
            <v>2.4.1-TRANSFERENCIAS CORRIENTES AL SECTOR PRIVADO</v>
          </cell>
          <cell r="C33">
            <v>23000000</v>
          </cell>
          <cell r="D33">
            <v>0</v>
          </cell>
          <cell r="E33">
            <v>5000000</v>
          </cell>
          <cell r="F33">
            <v>5500000</v>
          </cell>
          <cell r="G33">
            <v>0</v>
          </cell>
          <cell r="H33">
            <v>5000000</v>
          </cell>
          <cell r="I33">
            <v>0</v>
          </cell>
          <cell r="J33">
            <v>0</v>
          </cell>
          <cell r="K33">
            <v>7500000</v>
          </cell>
        </row>
        <row r="34">
          <cell r="B34" t="str">
            <v>2.5-TRANSFERENCIAS DE CAPITAL</v>
          </cell>
          <cell r="C34">
            <v>1122429475</v>
          </cell>
          <cell r="D34">
            <v>0</v>
          </cell>
          <cell r="E34">
            <v>300000000</v>
          </cell>
          <cell r="F34">
            <v>553513392</v>
          </cell>
          <cell r="G34">
            <v>268916083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2.5.4-TRANSFERENCIAS DE CAPITAL  A EMPRESAS PÚBLICAS NO FINANCIERAS</v>
          </cell>
          <cell r="C35">
            <v>1122429475</v>
          </cell>
          <cell r="D35">
            <v>0</v>
          </cell>
          <cell r="E35">
            <v>300000000</v>
          </cell>
          <cell r="F35">
            <v>553513392</v>
          </cell>
          <cell r="G35">
            <v>268916083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2.6-BIENES MUEBLES, INMUEBLES E INTANGIBLES</v>
          </cell>
          <cell r="C36">
            <v>1137442175.01</v>
          </cell>
          <cell r="D36">
            <v>102908557.17</v>
          </cell>
          <cell r="E36">
            <v>396055915.39999998</v>
          </cell>
          <cell r="F36">
            <v>42956193.960000001</v>
          </cell>
          <cell r="G36">
            <v>173164301.91999999</v>
          </cell>
          <cell r="H36">
            <v>173960534.13</v>
          </cell>
          <cell r="I36">
            <v>61305094.619999997</v>
          </cell>
          <cell r="J36">
            <v>116729246.48</v>
          </cell>
          <cell r="K36">
            <v>70362331.329999998</v>
          </cell>
        </row>
        <row r="37">
          <cell r="B37" t="str">
            <v>2.6.1-MOBILIARIO Y EQUIPO</v>
          </cell>
          <cell r="C37">
            <v>151979059.84</v>
          </cell>
          <cell r="D37">
            <v>17901662.170000002</v>
          </cell>
          <cell r="E37">
            <v>347313.43</v>
          </cell>
          <cell r="F37">
            <v>40726931.920000002</v>
          </cell>
          <cell r="G37">
            <v>20011891.129999999</v>
          </cell>
          <cell r="H37">
            <v>39118945.240000002</v>
          </cell>
          <cell r="I37">
            <v>23957819.579999998</v>
          </cell>
          <cell r="J37">
            <v>9885696.3900000006</v>
          </cell>
          <cell r="K37">
            <v>28799.98</v>
          </cell>
        </row>
        <row r="38">
          <cell r="B38" t="str">
            <v>2.6.2-MOBILIARIO Y EQUIPO DE AUDIO, AUDIOVISUAL, RECREATIVO Y EDUCACIONAL</v>
          </cell>
          <cell r="C38">
            <v>2708831.58</v>
          </cell>
          <cell r="D38">
            <v>131605.4</v>
          </cell>
          <cell r="E38">
            <v>505065.24</v>
          </cell>
          <cell r="F38">
            <v>0</v>
          </cell>
          <cell r="G38">
            <v>2020260.94</v>
          </cell>
          <cell r="H38">
            <v>0</v>
          </cell>
          <cell r="I38">
            <v>0</v>
          </cell>
          <cell r="J38">
            <v>51900</v>
          </cell>
          <cell r="K38">
            <v>0</v>
          </cell>
        </row>
        <row r="39">
          <cell r="B39" t="str">
            <v>2.6.3-EQUIPO E INSTRUMENTAL, CIENTÍFICO Y LABORATORIO</v>
          </cell>
          <cell r="C39">
            <v>821311126.25</v>
          </cell>
          <cell r="D39">
            <v>84622113.519999996</v>
          </cell>
          <cell r="E39">
            <v>313342545.11000001</v>
          </cell>
          <cell r="F39">
            <v>0</v>
          </cell>
          <cell r="G39">
            <v>107377522.56999999</v>
          </cell>
          <cell r="H39">
            <v>127785333.44</v>
          </cell>
          <cell r="I39">
            <v>23559647.149999999</v>
          </cell>
          <cell r="J39">
            <v>106307888.51000001</v>
          </cell>
          <cell r="K39">
            <v>58316075.950000003</v>
          </cell>
        </row>
        <row r="40">
          <cell r="B40" t="str">
            <v>2.6.4-VEHÍCULOS Y EQUIPO DE TRANSPORTE, TRACCIÓN Y ELEVACIÓN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2.6.5-MAQUINARIA, OTROS EQUIPOS Y HERRAMIENTAS</v>
          </cell>
          <cell r="C41">
            <v>148337976.87</v>
          </cell>
          <cell r="D41">
            <v>253176.08</v>
          </cell>
          <cell r="E41">
            <v>80897588.549999997</v>
          </cell>
          <cell r="F41">
            <v>2229262.04</v>
          </cell>
          <cell r="G41">
            <v>38550738.240000002</v>
          </cell>
          <cell r="H41">
            <v>7056255.4500000002</v>
          </cell>
          <cell r="I41">
            <v>8076347.9299999997</v>
          </cell>
          <cell r="J41">
            <v>447689.4</v>
          </cell>
          <cell r="K41">
            <v>10826919.18</v>
          </cell>
        </row>
        <row r="42">
          <cell r="B42" t="str">
            <v>2.6.6-EQUIPOS DE DEFENSA Y SEGURIDAD</v>
          </cell>
          <cell r="C42">
            <v>1190536.22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1190536.22</v>
          </cell>
        </row>
        <row r="43">
          <cell r="B43" t="str">
            <v>2.6.8-BIENES INTANGIBLES</v>
          </cell>
          <cell r="C43">
            <v>39772.04</v>
          </cell>
          <cell r="D43">
            <v>0</v>
          </cell>
          <cell r="E43">
            <v>0</v>
          </cell>
          <cell r="F43">
            <v>0</v>
          </cell>
          <cell r="G43">
            <v>39772.04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2.6.9-EDIFICIOS, ESTRUCTURAS, TIERRAS, TERRENOS Y OBJETOS DE VALOR</v>
          </cell>
          <cell r="C44">
            <v>11874872.210000001</v>
          </cell>
          <cell r="D44">
            <v>0</v>
          </cell>
          <cell r="E44">
            <v>963403.07</v>
          </cell>
          <cell r="F44">
            <v>0</v>
          </cell>
          <cell r="G44">
            <v>5164117</v>
          </cell>
          <cell r="H44">
            <v>0</v>
          </cell>
          <cell r="I44">
            <v>5711279.96</v>
          </cell>
          <cell r="J44">
            <v>36072.18</v>
          </cell>
          <cell r="K44">
            <v>0</v>
          </cell>
        </row>
        <row r="45">
          <cell r="B45" t="str">
            <v>2.7-OBRAS</v>
          </cell>
          <cell r="C45">
            <v>6165097999.7799997</v>
          </cell>
          <cell r="D45">
            <v>290900959.35000002</v>
          </cell>
          <cell r="E45">
            <v>578304858.13999999</v>
          </cell>
          <cell r="F45">
            <v>368276708.08999997</v>
          </cell>
          <cell r="G45">
            <v>1247157530.4200001</v>
          </cell>
          <cell r="H45">
            <v>1531481866.6099999</v>
          </cell>
          <cell r="I45">
            <v>950695211.15999997</v>
          </cell>
          <cell r="J45">
            <v>394221859.02999997</v>
          </cell>
          <cell r="K45">
            <v>804059006.98000002</v>
          </cell>
        </row>
        <row r="46">
          <cell r="B46" t="str">
            <v>2.7.1-OBRAS EN EDIFICACIONES</v>
          </cell>
          <cell r="C46">
            <v>5429684149.8199997</v>
          </cell>
          <cell r="D46">
            <v>290900959.35000002</v>
          </cell>
          <cell r="E46">
            <v>578304858.13999999</v>
          </cell>
          <cell r="F46">
            <v>193313225.71000001</v>
          </cell>
          <cell r="G46">
            <v>1194757752.04</v>
          </cell>
          <cell r="H46">
            <v>1516127373.1199999</v>
          </cell>
          <cell r="I46">
            <v>726272484.5</v>
          </cell>
          <cell r="J46">
            <v>190534962.09999999</v>
          </cell>
          <cell r="K46">
            <v>739472534.86000001</v>
          </cell>
        </row>
        <row r="47">
          <cell r="B47" t="str">
            <v>2.7.2-INFRAESTRUCTURA</v>
          </cell>
          <cell r="C47">
            <v>735413849.96000004</v>
          </cell>
          <cell r="D47">
            <v>0</v>
          </cell>
          <cell r="E47">
            <v>0</v>
          </cell>
          <cell r="F47">
            <v>174963482.38</v>
          </cell>
          <cell r="G47">
            <v>52399778.380000003</v>
          </cell>
          <cell r="H47">
            <v>15354493.49</v>
          </cell>
          <cell r="I47">
            <v>224422726.66</v>
          </cell>
          <cell r="J47">
            <v>203686896.93000001</v>
          </cell>
          <cell r="K47">
            <v>64586472.119999997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2213F27-16E7-430D-8764-3FCDE5918B64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2C838E-290A-48AD-9F0A-3FE5C31D1CFB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dataField="1"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83" baseField="63" baseItem="12" numFmtId="164"/>
  </dataFields>
  <formats count="5">
    <format dxfId="52">
      <pivotArea field="61" type="button" dataOnly="0" labelOnly="1" outline="0" axis="axisRow" fieldPosition="0"/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0">
      <pivotArea field="61" type="button" dataOnly="0" labelOnly="1" outline="0" axis="axisRow" fieldPosition="0"/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909ECF-F6FB-462D-A36D-91120252C0D3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47">
      <pivotArea field="61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field="61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943B2-0BA1-45FE-85E1-0DEBE40CB416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43">
      <pivotArea field="61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field="61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8E8BED-6BE8-414C-8AB2-C97199707768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9">
      <pivotArea field="61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field="61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0AAB84-C7E4-4804-B84A-5931A0C05105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5">
      <pivotArea field="61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field="61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93931B-E998-4CC0-8875-0A8D030F706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1">
      <pivotArea field="61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field="61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9F449-40EE-4EAE-A891-F73371301F65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27">
      <pivotArea field="61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">
      <pivotArea field="61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1B386F-A839-4B5A-A594-F85CE195A75E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23">
      <pivotArea field="6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61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B811EB-DFCB-4A5D-AB20-4FB4F3A4451D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9">
      <pivotArea field="61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">
      <pivotArea field="61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59EA7B-9A89-454A-9446-6A60CA29956D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5">
      <pivotArea field="6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6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44C883-B36C-4273-8D72-C9CE051D444C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11">
      <pivotArea field="61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61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73F87B-035D-495E-842E-4DFF9B6D55C3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7">
      <pivotArea field="6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6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A1D27-CB2E-4B97-A5E0-92367D1C710A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15B0B-AC87-495A-8A5B-A1490690227E}">
  <sheetPr>
    <pageSetUpPr fitToPage="1"/>
  </sheetPr>
  <dimension ref="B4:D102"/>
  <sheetViews>
    <sheetView showGridLines="0" topLeftCell="A32" zoomScale="70" zoomScaleNormal="70" workbookViewId="0">
      <selection activeCell="I29" sqref="I29"/>
    </sheetView>
  </sheetViews>
  <sheetFormatPr baseColWidth="10" defaultRowHeight="15" x14ac:dyDescent="0.25"/>
  <cols>
    <col min="2" max="2" width="124.85546875" customWidth="1"/>
    <col min="3" max="3" width="26.5703125" customWidth="1"/>
    <col min="4" max="4" width="29.28515625" customWidth="1"/>
  </cols>
  <sheetData>
    <row r="4" spans="2:4" x14ac:dyDescent="0.25">
      <c r="B4" s="1"/>
      <c r="C4" s="1"/>
      <c r="D4" s="1"/>
    </row>
    <row r="5" spans="2:4" x14ac:dyDescent="0.25">
      <c r="B5" s="1"/>
      <c r="C5" s="1"/>
      <c r="D5" s="1"/>
    </row>
    <row r="6" spans="2:4" ht="28.5" x14ac:dyDescent="0.25">
      <c r="B6" s="47" t="s">
        <v>0</v>
      </c>
      <c r="C6" s="48"/>
      <c r="D6" s="48"/>
    </row>
    <row r="7" spans="2:4" ht="15.75" x14ac:dyDescent="0.25">
      <c r="B7" s="49">
        <v>2024</v>
      </c>
      <c r="C7" s="50"/>
      <c r="D7" s="50"/>
    </row>
    <row r="8" spans="2:4" ht="15.75" x14ac:dyDescent="0.25">
      <c r="B8" s="51" t="s">
        <v>1</v>
      </c>
      <c r="C8" s="52"/>
      <c r="D8" s="52"/>
    </row>
    <row r="9" spans="2:4" ht="15.75" x14ac:dyDescent="0.25">
      <c r="B9" s="52" t="s">
        <v>2</v>
      </c>
      <c r="C9" s="52"/>
      <c r="D9" s="52"/>
    </row>
    <row r="10" spans="2:4" ht="15.75" x14ac:dyDescent="0.25">
      <c r="B10" s="2"/>
      <c r="C10" s="2"/>
      <c r="D10" s="2"/>
    </row>
    <row r="11" spans="2:4" x14ac:dyDescent="0.25">
      <c r="B11" s="1"/>
      <c r="C11" s="1"/>
      <c r="D11" s="1"/>
    </row>
    <row r="12" spans="2:4" ht="18.75" x14ac:dyDescent="0.25">
      <c r="B12" s="3" t="s">
        <v>3</v>
      </c>
      <c r="C12" s="3" t="s">
        <v>4</v>
      </c>
      <c r="D12" t="s">
        <v>5</v>
      </c>
    </row>
    <row r="13" spans="2:4" x14ac:dyDescent="0.25">
      <c r="B13" s="6" t="s">
        <v>19</v>
      </c>
      <c r="C13" s="7">
        <v>13772224962</v>
      </c>
      <c r="D13" s="7">
        <v>0</v>
      </c>
    </row>
    <row r="14" spans="2:4" x14ac:dyDescent="0.25">
      <c r="B14" s="10" t="s">
        <v>20</v>
      </c>
      <c r="C14" s="7">
        <v>2169203385</v>
      </c>
      <c r="D14" s="7">
        <v>0</v>
      </c>
    </row>
    <row r="15" spans="2:4" x14ac:dyDescent="0.25">
      <c r="B15" s="13" t="s">
        <v>21</v>
      </c>
      <c r="C15" s="7">
        <v>1517975142.1199999</v>
      </c>
      <c r="D15" s="7">
        <v>0</v>
      </c>
    </row>
    <row r="16" spans="2:4" x14ac:dyDescent="0.25">
      <c r="B16" s="13" t="s">
        <v>22</v>
      </c>
      <c r="C16" s="7">
        <v>412263200</v>
      </c>
      <c r="D16" s="7">
        <v>0</v>
      </c>
    </row>
    <row r="17" spans="2:4" x14ac:dyDescent="0.25">
      <c r="B17" s="13" t="s">
        <v>23</v>
      </c>
      <c r="C17" s="7">
        <v>3000000</v>
      </c>
      <c r="D17" s="7">
        <v>0</v>
      </c>
    </row>
    <row r="18" spans="2:4" x14ac:dyDescent="0.25">
      <c r="B18" s="13" t="s">
        <v>24</v>
      </c>
      <c r="C18" s="7">
        <v>0</v>
      </c>
      <c r="D18" s="7">
        <v>0</v>
      </c>
    </row>
    <row r="19" spans="2:4" x14ac:dyDescent="0.25">
      <c r="B19" s="13" t="s">
        <v>25</v>
      </c>
      <c r="C19" s="7">
        <v>235965042.88</v>
      </c>
      <c r="D19" s="7">
        <v>0</v>
      </c>
    </row>
    <row r="20" spans="2:4" x14ac:dyDescent="0.25">
      <c r="B20" s="10" t="s">
        <v>26</v>
      </c>
      <c r="C20" s="7">
        <v>890951904</v>
      </c>
      <c r="D20" s="7">
        <v>0</v>
      </c>
    </row>
    <row r="21" spans="2:4" x14ac:dyDescent="0.25">
      <c r="B21" s="13" t="s">
        <v>27</v>
      </c>
      <c r="C21" s="7">
        <v>57930000</v>
      </c>
      <c r="D21" s="7">
        <v>0</v>
      </c>
    </row>
    <row r="22" spans="2:4" x14ac:dyDescent="0.25">
      <c r="B22" s="13" t="s">
        <v>28</v>
      </c>
      <c r="C22" s="7">
        <v>126615000</v>
      </c>
      <c r="D22" s="7">
        <v>0</v>
      </c>
    </row>
    <row r="23" spans="2:4" x14ac:dyDescent="0.25">
      <c r="B23" s="13" t="s">
        <v>29</v>
      </c>
      <c r="C23" s="7">
        <v>25005000</v>
      </c>
      <c r="D23" s="7">
        <v>0</v>
      </c>
    </row>
    <row r="24" spans="2:4" x14ac:dyDescent="0.25">
      <c r="B24" s="13" t="s">
        <v>30</v>
      </c>
      <c r="C24" s="7">
        <v>41519800</v>
      </c>
      <c r="D24" s="7">
        <v>0</v>
      </c>
    </row>
    <row r="25" spans="2:4" x14ac:dyDescent="0.25">
      <c r="B25" s="13" t="s">
        <v>31</v>
      </c>
      <c r="C25" s="7">
        <v>148603946</v>
      </c>
      <c r="D25" s="7">
        <v>0</v>
      </c>
    </row>
    <row r="26" spans="2:4" x14ac:dyDescent="0.25">
      <c r="B26" s="13" t="s">
        <v>32</v>
      </c>
      <c r="C26" s="7">
        <v>68010000</v>
      </c>
      <c r="D26" s="7">
        <v>0</v>
      </c>
    </row>
    <row r="27" spans="2:4" x14ac:dyDescent="0.25">
      <c r="B27" s="13" t="s">
        <v>33</v>
      </c>
      <c r="C27" s="7">
        <v>78962636</v>
      </c>
      <c r="D27" s="7">
        <v>0</v>
      </c>
    </row>
    <row r="28" spans="2:4" x14ac:dyDescent="0.25">
      <c r="B28" s="13" t="s">
        <v>34</v>
      </c>
      <c r="C28" s="7">
        <v>282195915.56</v>
      </c>
      <c r="D28" s="7">
        <v>0</v>
      </c>
    </row>
    <row r="29" spans="2:4" x14ac:dyDescent="0.25">
      <c r="B29" s="13" t="s">
        <v>35</v>
      </c>
      <c r="C29" s="7">
        <v>62109606.439999998</v>
      </c>
      <c r="D29" s="7">
        <v>0</v>
      </c>
    </row>
    <row r="30" spans="2:4" x14ac:dyDescent="0.25">
      <c r="B30" s="10" t="s">
        <v>36</v>
      </c>
      <c r="C30" s="7">
        <v>603027715</v>
      </c>
      <c r="D30" s="7">
        <v>0</v>
      </c>
    </row>
    <row r="31" spans="2:4" x14ac:dyDescent="0.25">
      <c r="B31" s="13" t="s">
        <v>37</v>
      </c>
      <c r="C31" s="7">
        <v>156359767</v>
      </c>
      <c r="D31" s="7">
        <v>0</v>
      </c>
    </row>
    <row r="32" spans="2:4" x14ac:dyDescent="0.25">
      <c r="B32" s="13" t="s">
        <v>38</v>
      </c>
      <c r="C32" s="7">
        <v>4505351</v>
      </c>
      <c r="D32" s="7">
        <v>0</v>
      </c>
    </row>
    <row r="33" spans="2:4" x14ac:dyDescent="0.25">
      <c r="B33" s="13" t="s">
        <v>39</v>
      </c>
      <c r="C33" s="7">
        <v>3232371</v>
      </c>
      <c r="D33" s="7">
        <v>0</v>
      </c>
    </row>
    <row r="34" spans="2:4" x14ac:dyDescent="0.25">
      <c r="B34" s="13" t="s">
        <v>40</v>
      </c>
      <c r="C34" s="7">
        <v>494580</v>
      </c>
      <c r="D34" s="7">
        <v>0</v>
      </c>
    </row>
    <row r="35" spans="2:4" x14ac:dyDescent="0.25">
      <c r="B35" s="13" t="s">
        <v>41</v>
      </c>
      <c r="C35" s="7">
        <v>3190000</v>
      </c>
      <c r="D35" s="7">
        <v>0</v>
      </c>
    </row>
    <row r="36" spans="2:4" x14ac:dyDescent="0.25">
      <c r="B36" s="13" t="s">
        <v>42</v>
      </c>
      <c r="C36" s="7">
        <v>337950267</v>
      </c>
      <c r="D36" s="7">
        <v>0</v>
      </c>
    </row>
    <row r="37" spans="2:4" x14ac:dyDescent="0.25">
      <c r="B37" s="13" t="s">
        <v>43</v>
      </c>
      <c r="C37" s="7">
        <v>73480379</v>
      </c>
      <c r="D37" s="7">
        <v>0</v>
      </c>
    </row>
    <row r="38" spans="2:4" x14ac:dyDescent="0.25">
      <c r="B38" s="13" t="s">
        <v>44</v>
      </c>
      <c r="C38" s="7">
        <v>0</v>
      </c>
      <c r="D38" s="7">
        <v>0</v>
      </c>
    </row>
    <row r="39" spans="2:4" x14ac:dyDescent="0.25">
      <c r="B39" s="13" t="s">
        <v>45</v>
      </c>
      <c r="C39" s="7">
        <v>23815000</v>
      </c>
      <c r="D39" s="7">
        <v>0</v>
      </c>
    </row>
    <row r="40" spans="2:4" x14ac:dyDescent="0.25">
      <c r="B40" s="10" t="s">
        <v>46</v>
      </c>
      <c r="C40" s="7">
        <v>41130000</v>
      </c>
      <c r="D40" s="7">
        <v>0</v>
      </c>
    </row>
    <row r="41" spans="2:4" x14ac:dyDescent="0.25">
      <c r="B41" s="13" t="s">
        <v>47</v>
      </c>
      <c r="C41" s="7">
        <v>41130000</v>
      </c>
      <c r="D41" s="7">
        <v>0</v>
      </c>
    </row>
    <row r="42" spans="2:4" x14ac:dyDescent="0.25">
      <c r="B42" s="13" t="s">
        <v>48</v>
      </c>
      <c r="C42" s="7">
        <v>0</v>
      </c>
      <c r="D42" s="7">
        <v>0</v>
      </c>
    </row>
    <row r="43" spans="2:4" x14ac:dyDescent="0.25">
      <c r="B43" s="13" t="s">
        <v>49</v>
      </c>
      <c r="C43" s="7">
        <v>0</v>
      </c>
      <c r="D43" s="7">
        <v>0</v>
      </c>
    </row>
    <row r="44" spans="2:4" x14ac:dyDescent="0.25">
      <c r="B44" s="13" t="s">
        <v>50</v>
      </c>
      <c r="C44" s="7">
        <v>0</v>
      </c>
      <c r="D44" s="7">
        <v>0</v>
      </c>
    </row>
    <row r="45" spans="2:4" x14ac:dyDescent="0.25">
      <c r="B45" s="13" t="s">
        <v>51</v>
      </c>
      <c r="C45" s="7">
        <v>0</v>
      </c>
      <c r="D45" s="7">
        <v>0</v>
      </c>
    </row>
    <row r="46" spans="2:4" x14ac:dyDescent="0.25">
      <c r="B46" s="13" t="s">
        <v>52</v>
      </c>
      <c r="C46" s="7">
        <v>0</v>
      </c>
      <c r="D46" s="7">
        <v>0</v>
      </c>
    </row>
    <row r="47" spans="2:4" x14ac:dyDescent="0.25">
      <c r="B47" s="13" t="s">
        <v>53</v>
      </c>
      <c r="C47" s="7">
        <v>0</v>
      </c>
      <c r="D47" s="7">
        <v>0</v>
      </c>
    </row>
    <row r="48" spans="2:4" x14ac:dyDescent="0.25">
      <c r="B48" s="13" t="s">
        <v>54</v>
      </c>
      <c r="C48" s="7">
        <v>0</v>
      </c>
      <c r="D48" s="7">
        <v>0</v>
      </c>
    </row>
    <row r="49" spans="2:4" x14ac:dyDescent="0.25">
      <c r="B49" s="10" t="s">
        <v>55</v>
      </c>
      <c r="C49" s="7">
        <v>1432429475</v>
      </c>
      <c r="D49" s="7">
        <v>0</v>
      </c>
    </row>
    <row r="50" spans="2:4" x14ac:dyDescent="0.25">
      <c r="B50" s="13" t="s">
        <v>56</v>
      </c>
      <c r="C50" s="7">
        <v>0</v>
      </c>
      <c r="D50" s="7">
        <v>0</v>
      </c>
    </row>
    <row r="51" spans="2:4" x14ac:dyDescent="0.25">
      <c r="B51" s="13" t="s">
        <v>57</v>
      </c>
      <c r="C51" s="7">
        <v>0</v>
      </c>
      <c r="D51" s="7">
        <v>0</v>
      </c>
    </row>
    <row r="52" spans="2:4" x14ac:dyDescent="0.25">
      <c r="B52" s="13" t="s">
        <v>58</v>
      </c>
      <c r="C52" s="7">
        <v>0</v>
      </c>
      <c r="D52" s="7">
        <v>0</v>
      </c>
    </row>
    <row r="53" spans="2:4" x14ac:dyDescent="0.25">
      <c r="B53" s="13" t="s">
        <v>59</v>
      </c>
      <c r="C53" s="7">
        <v>1432429475</v>
      </c>
      <c r="D53" s="7">
        <v>0</v>
      </c>
    </row>
    <row r="54" spans="2:4" x14ac:dyDescent="0.25">
      <c r="B54" s="13" t="s">
        <v>60</v>
      </c>
      <c r="C54" s="7">
        <v>0</v>
      </c>
      <c r="D54" s="7">
        <v>0</v>
      </c>
    </row>
    <row r="55" spans="2:4" x14ac:dyDescent="0.25">
      <c r="B55" s="13" t="s">
        <v>61</v>
      </c>
      <c r="C55" s="7">
        <v>0</v>
      </c>
      <c r="D55" s="7">
        <v>0</v>
      </c>
    </row>
    <row r="56" spans="2:4" x14ac:dyDescent="0.25">
      <c r="B56" s="13" t="s">
        <v>62</v>
      </c>
      <c r="C56" s="7">
        <v>0</v>
      </c>
      <c r="D56" s="7">
        <v>0</v>
      </c>
    </row>
    <row r="57" spans="2:4" x14ac:dyDescent="0.25">
      <c r="B57" s="10" t="s">
        <v>63</v>
      </c>
      <c r="C57" s="7">
        <v>1960491203</v>
      </c>
      <c r="D57" s="7">
        <v>0</v>
      </c>
    </row>
    <row r="58" spans="2:4" x14ac:dyDescent="0.25">
      <c r="B58" s="13" t="s">
        <v>64</v>
      </c>
      <c r="C58" s="7">
        <v>306806631</v>
      </c>
      <c r="D58" s="7">
        <v>0</v>
      </c>
    </row>
    <row r="59" spans="2:4" x14ac:dyDescent="0.25">
      <c r="B59" s="13" t="s">
        <v>65</v>
      </c>
      <c r="C59" s="7">
        <v>7942136</v>
      </c>
      <c r="D59" s="7">
        <v>0</v>
      </c>
    </row>
    <row r="60" spans="2:4" x14ac:dyDescent="0.25">
      <c r="B60" s="13" t="s">
        <v>66</v>
      </c>
      <c r="C60" s="7">
        <v>1218573710</v>
      </c>
      <c r="D60" s="7">
        <v>0</v>
      </c>
    </row>
    <row r="61" spans="2:4" x14ac:dyDescent="0.25">
      <c r="B61" s="13" t="s">
        <v>67</v>
      </c>
      <c r="C61" s="7">
        <v>53160000</v>
      </c>
      <c r="D61" s="7">
        <v>0</v>
      </c>
    </row>
    <row r="62" spans="2:4" x14ac:dyDescent="0.25">
      <c r="B62" s="13" t="s">
        <v>68</v>
      </c>
      <c r="C62" s="7">
        <v>304446775</v>
      </c>
      <c r="D62" s="7">
        <v>0</v>
      </c>
    </row>
    <row r="63" spans="2:4" x14ac:dyDescent="0.25">
      <c r="B63" s="13" t="s">
        <v>69</v>
      </c>
      <c r="C63" s="7">
        <v>14400000</v>
      </c>
      <c r="D63" s="7">
        <v>0</v>
      </c>
    </row>
    <row r="64" spans="2:4" x14ac:dyDescent="0.25">
      <c r="B64" s="13" t="s">
        <v>70</v>
      </c>
      <c r="C64" s="7">
        <v>0</v>
      </c>
      <c r="D64" s="7">
        <v>0</v>
      </c>
    </row>
    <row r="65" spans="2:4" x14ac:dyDescent="0.25">
      <c r="B65" s="13" t="s">
        <v>71</v>
      </c>
      <c r="C65" s="7">
        <v>42010000</v>
      </c>
      <c r="D65" s="7">
        <v>0</v>
      </c>
    </row>
    <row r="66" spans="2:4" x14ac:dyDescent="0.25">
      <c r="B66" s="13" t="s">
        <v>72</v>
      </c>
      <c r="C66" s="7">
        <v>13151951</v>
      </c>
      <c r="D66" s="7">
        <v>0</v>
      </c>
    </row>
    <row r="67" spans="2:4" x14ac:dyDescent="0.25">
      <c r="B67" s="10" t="s">
        <v>73</v>
      </c>
      <c r="C67" s="7">
        <v>6674991280</v>
      </c>
      <c r="D67" s="7">
        <v>0</v>
      </c>
    </row>
    <row r="68" spans="2:4" x14ac:dyDescent="0.25">
      <c r="B68" s="13" t="s">
        <v>74</v>
      </c>
      <c r="C68" s="7">
        <v>5781743562</v>
      </c>
      <c r="D68" s="7">
        <v>0</v>
      </c>
    </row>
    <row r="69" spans="2:4" x14ac:dyDescent="0.25">
      <c r="B69" s="13" t="s">
        <v>75</v>
      </c>
      <c r="C69" s="7">
        <v>893247718</v>
      </c>
      <c r="D69" s="7">
        <v>0</v>
      </c>
    </row>
    <row r="70" spans="2:4" x14ac:dyDescent="0.25">
      <c r="B70" s="13" t="s">
        <v>76</v>
      </c>
      <c r="C70" s="7">
        <v>0</v>
      </c>
      <c r="D70" s="7">
        <v>0</v>
      </c>
    </row>
    <row r="71" spans="2:4" x14ac:dyDescent="0.25">
      <c r="B71" s="13" t="s">
        <v>77</v>
      </c>
      <c r="C71" s="7">
        <v>0</v>
      </c>
      <c r="D71" s="7">
        <v>0</v>
      </c>
    </row>
    <row r="72" spans="2:4" x14ac:dyDescent="0.25">
      <c r="B72" s="10" t="s">
        <v>78</v>
      </c>
      <c r="C72" s="7">
        <v>0</v>
      </c>
      <c r="D72" s="7">
        <v>0</v>
      </c>
    </row>
    <row r="73" spans="2:4" x14ac:dyDescent="0.25">
      <c r="B73" s="13" t="s">
        <v>79</v>
      </c>
      <c r="C73" s="7">
        <v>0</v>
      </c>
      <c r="D73" s="7">
        <v>0</v>
      </c>
    </row>
    <row r="74" spans="2:4" x14ac:dyDescent="0.25">
      <c r="B74" s="13" t="s">
        <v>80</v>
      </c>
      <c r="C74" s="7">
        <v>0</v>
      </c>
      <c r="D74" s="7">
        <v>0</v>
      </c>
    </row>
    <row r="75" spans="2:4" x14ac:dyDescent="0.25">
      <c r="B75" s="13" t="s">
        <v>81</v>
      </c>
      <c r="C75" s="7">
        <v>0</v>
      </c>
      <c r="D75" s="7">
        <v>0</v>
      </c>
    </row>
    <row r="76" spans="2:4" x14ac:dyDescent="0.25">
      <c r="B76" s="13" t="s">
        <v>82</v>
      </c>
      <c r="C76" s="7">
        <v>0</v>
      </c>
      <c r="D76" s="7">
        <v>0</v>
      </c>
    </row>
    <row r="77" spans="2:4" x14ac:dyDescent="0.25">
      <c r="B77" s="13" t="s">
        <v>83</v>
      </c>
      <c r="C77" s="7">
        <v>0</v>
      </c>
      <c r="D77" s="7">
        <v>0</v>
      </c>
    </row>
    <row r="78" spans="2:4" x14ac:dyDescent="0.25">
      <c r="B78" s="10" t="s">
        <v>84</v>
      </c>
      <c r="C78" s="7">
        <v>0</v>
      </c>
      <c r="D78" s="7">
        <v>0</v>
      </c>
    </row>
    <row r="79" spans="2:4" x14ac:dyDescent="0.25">
      <c r="B79" s="13" t="s">
        <v>85</v>
      </c>
      <c r="C79" s="7">
        <v>0</v>
      </c>
      <c r="D79" s="7">
        <v>0</v>
      </c>
    </row>
    <row r="80" spans="2:4" x14ac:dyDescent="0.25">
      <c r="B80" s="13" t="s">
        <v>86</v>
      </c>
      <c r="C80" s="7">
        <v>0</v>
      </c>
      <c r="D80" s="7">
        <v>0</v>
      </c>
    </row>
    <row r="81" spans="2:4" x14ac:dyDescent="0.25">
      <c r="B81" s="13" t="s">
        <v>87</v>
      </c>
      <c r="C81" s="7">
        <v>0</v>
      </c>
      <c r="D81" s="7">
        <v>0</v>
      </c>
    </row>
    <row r="82" spans="2:4" x14ac:dyDescent="0.25">
      <c r="B82" s="13" t="s">
        <v>88</v>
      </c>
      <c r="C82" s="7">
        <v>0</v>
      </c>
      <c r="D82" s="7">
        <v>0</v>
      </c>
    </row>
    <row r="83" spans="2:4" x14ac:dyDescent="0.25">
      <c r="B83" s="13" t="s">
        <v>89</v>
      </c>
      <c r="C83" s="7">
        <v>0</v>
      </c>
      <c r="D83" s="7">
        <v>0</v>
      </c>
    </row>
    <row r="84" spans="2:4" x14ac:dyDescent="0.25">
      <c r="B84" s="6" t="s">
        <v>90</v>
      </c>
      <c r="C84" s="7">
        <v>0</v>
      </c>
      <c r="D84" s="7">
        <v>0</v>
      </c>
    </row>
    <row r="85" spans="2:4" x14ac:dyDescent="0.25">
      <c r="B85" s="10" t="s">
        <v>91</v>
      </c>
      <c r="C85" s="7">
        <v>0</v>
      </c>
      <c r="D85" s="7">
        <v>0</v>
      </c>
    </row>
    <row r="86" spans="2:4" x14ac:dyDescent="0.25">
      <c r="B86" s="13" t="s">
        <v>92</v>
      </c>
      <c r="C86" s="7">
        <v>0</v>
      </c>
      <c r="D86" s="7">
        <v>0</v>
      </c>
    </row>
    <row r="87" spans="2:4" x14ac:dyDescent="0.25">
      <c r="B87" s="13" t="s">
        <v>93</v>
      </c>
      <c r="C87" s="7">
        <v>0</v>
      </c>
      <c r="D87" s="7">
        <v>0</v>
      </c>
    </row>
    <row r="88" spans="2:4" x14ac:dyDescent="0.25">
      <c r="B88" s="10" t="s">
        <v>94</v>
      </c>
      <c r="C88" s="7">
        <v>0</v>
      </c>
      <c r="D88" s="7">
        <v>0</v>
      </c>
    </row>
    <row r="89" spans="2:4" x14ac:dyDescent="0.25">
      <c r="B89" s="13" t="s">
        <v>95</v>
      </c>
      <c r="C89" s="7">
        <v>0</v>
      </c>
      <c r="D89" s="7">
        <v>0</v>
      </c>
    </row>
    <row r="90" spans="2:4" x14ac:dyDescent="0.25">
      <c r="B90" s="13" t="s">
        <v>96</v>
      </c>
      <c r="C90" s="7">
        <v>0</v>
      </c>
      <c r="D90" s="7">
        <v>0</v>
      </c>
    </row>
    <row r="91" spans="2:4" x14ac:dyDescent="0.25">
      <c r="B91" s="10" t="s">
        <v>97</v>
      </c>
      <c r="C91" s="7">
        <v>0</v>
      </c>
      <c r="D91" s="7">
        <v>0</v>
      </c>
    </row>
    <row r="92" spans="2:4" x14ac:dyDescent="0.25">
      <c r="B92" s="13" t="s">
        <v>98</v>
      </c>
      <c r="C92" s="7">
        <v>0</v>
      </c>
      <c r="D92" s="7">
        <v>0</v>
      </c>
    </row>
    <row r="93" spans="2:4" x14ac:dyDescent="0.25">
      <c r="B93" s="6" t="s">
        <v>99</v>
      </c>
      <c r="C93" s="7">
        <v>13772224962</v>
      </c>
      <c r="D93" s="7">
        <v>0</v>
      </c>
    </row>
    <row r="96" spans="2:4" x14ac:dyDescent="0.25">
      <c r="B96" s="6"/>
      <c r="C96" s="7"/>
      <c r="D96" s="7"/>
    </row>
    <row r="97" spans="2:4" x14ac:dyDescent="0.25">
      <c r="B97" s="6"/>
      <c r="C97" s="7"/>
      <c r="D97" s="7"/>
    </row>
    <row r="98" spans="2:4" ht="15.75" thickBot="1" x14ac:dyDescent="0.3">
      <c r="B98" s="26" t="s">
        <v>103</v>
      </c>
    </row>
    <row r="99" spans="2:4" ht="15.75" thickBot="1" x14ac:dyDescent="0.3">
      <c r="B99" s="24" t="s">
        <v>100</v>
      </c>
    </row>
    <row r="100" spans="2:4" ht="31.5" customHeight="1" thickBot="1" x14ac:dyDescent="0.3">
      <c r="B100" s="25" t="s">
        <v>101</v>
      </c>
    </row>
    <row r="101" spans="2:4" ht="21" customHeight="1" x14ac:dyDescent="0.25">
      <c r="B101" s="53" t="s">
        <v>102</v>
      </c>
    </row>
    <row r="102" spans="2:4" ht="22.5" customHeight="1" thickBot="1" x14ac:dyDescent="0.3">
      <c r="B102" s="54"/>
    </row>
  </sheetData>
  <mergeCells count="5">
    <mergeCell ref="B6:D6"/>
    <mergeCell ref="B7:D7"/>
    <mergeCell ref="B8:D8"/>
    <mergeCell ref="B9:D9"/>
    <mergeCell ref="B101:B102"/>
  </mergeCells>
  <printOptions verticalCentered="1"/>
  <pageMargins left="0.70866141732283472" right="0.70866141732283472" top="0.36" bottom="1.44" header="0.31496062992125984" footer="0.31496062992125984"/>
  <pageSetup scale="60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45F0-3D2C-49DB-87A4-A55E5224FB0D}">
  <sheetPr>
    <pageSetUpPr fitToPage="1"/>
  </sheetPr>
  <dimension ref="B1:Q97"/>
  <sheetViews>
    <sheetView showGridLines="0" tabSelected="1" topLeftCell="A61" zoomScale="70" zoomScaleNormal="70" workbookViewId="0">
      <selection activeCell="X91" sqref="X91"/>
    </sheetView>
  </sheetViews>
  <sheetFormatPr baseColWidth="10" defaultRowHeight="15" x14ac:dyDescent="0.25"/>
  <cols>
    <col min="2" max="2" width="104.5703125" customWidth="1"/>
    <col min="3" max="3" width="31.140625" bestFit="1" customWidth="1"/>
    <col min="4" max="4" width="26.5703125" bestFit="1" customWidth="1"/>
    <col min="5" max="5" width="21.7109375" bestFit="1" customWidth="1"/>
    <col min="6" max="16" width="0" hidden="1" customWidth="1"/>
    <col min="17" max="17" width="21.42578125" bestFit="1" customWidth="1"/>
  </cols>
  <sheetData>
    <row r="1" spans="2:17" x14ac:dyDescent="0.25">
      <c r="B1" s="29"/>
      <c r="C1" s="30"/>
      <c r="D1" s="29"/>
    </row>
    <row r="2" spans="2:17" x14ac:dyDescent="0.25">
      <c r="B2" s="29"/>
      <c r="C2" s="30"/>
      <c r="D2" s="29"/>
    </row>
    <row r="3" spans="2:17" ht="21" x14ac:dyDescent="0.25">
      <c r="B3" s="43" t="s">
        <v>105</v>
      </c>
      <c r="C3" s="43"/>
      <c r="D3" s="43"/>
    </row>
    <row r="4" spans="2:17" ht="17.25" x14ac:dyDescent="0.25">
      <c r="B4" s="44" t="s">
        <v>106</v>
      </c>
      <c r="C4" s="44"/>
      <c r="D4" s="44"/>
    </row>
    <row r="5" spans="2:17" x14ac:dyDescent="0.25">
      <c r="B5" s="45" t="s">
        <v>107</v>
      </c>
      <c r="C5" s="45"/>
      <c r="D5" s="45"/>
    </row>
    <row r="6" spans="2:17" x14ac:dyDescent="0.25">
      <c r="B6" s="45" t="s">
        <v>108</v>
      </c>
      <c r="C6" s="45"/>
      <c r="D6" s="45"/>
    </row>
    <row r="7" spans="2:17" x14ac:dyDescent="0.25">
      <c r="B7" s="45" t="s">
        <v>135</v>
      </c>
      <c r="C7" s="45"/>
      <c r="D7" s="45"/>
    </row>
    <row r="8" spans="2:17" x14ac:dyDescent="0.25">
      <c r="B8" s="46"/>
      <c r="C8" s="46"/>
      <c r="D8" s="29"/>
    </row>
    <row r="9" spans="2:17" ht="18.75" x14ac:dyDescent="0.25">
      <c r="B9" s="35" t="s">
        <v>109</v>
      </c>
      <c r="C9" s="36" t="s">
        <v>110</v>
      </c>
      <c r="D9" s="28" t="s">
        <v>111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14</v>
      </c>
      <c r="N9" s="4" t="s">
        <v>15</v>
      </c>
      <c r="O9" s="4" t="s">
        <v>16</v>
      </c>
      <c r="P9" s="4" t="s">
        <v>17</v>
      </c>
      <c r="Q9" s="5" t="s">
        <v>18</v>
      </c>
    </row>
    <row r="10" spans="2:17" x14ac:dyDescent="0.25">
      <c r="B10" s="20" t="s">
        <v>112</v>
      </c>
      <c r="C10" s="9"/>
      <c r="D10" s="9"/>
      <c r="E10" s="8">
        <f>+E11+E17+E27+E37+E46+E54+E64+E69+E75+E82+E85+E88</f>
        <v>590359800.66999996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>
        <f>+SUM(E10:P10)</f>
        <v>590359800.66999996</v>
      </c>
    </row>
    <row r="11" spans="2:17" x14ac:dyDescent="0.25">
      <c r="B11" s="37" t="s">
        <v>20</v>
      </c>
      <c r="C11" s="38">
        <v>2332197748</v>
      </c>
      <c r="D11" s="38">
        <v>0</v>
      </c>
      <c r="E11" s="11">
        <f>+SUM(E12:E16)</f>
        <v>136476309.07999998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>
        <f t="shared" ref="Q11:Q74" si="0">+SUM(E11:P11)</f>
        <v>136476309.07999998</v>
      </c>
    </row>
    <row r="12" spans="2:17" x14ac:dyDescent="0.25">
      <c r="B12" s="39" t="s">
        <v>21</v>
      </c>
      <c r="C12" s="31">
        <v>1611898990</v>
      </c>
      <c r="D12" s="31">
        <v>0</v>
      </c>
      <c r="E12" s="14">
        <v>112248390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>
        <f t="shared" si="0"/>
        <v>112248390</v>
      </c>
    </row>
    <row r="13" spans="2:17" x14ac:dyDescent="0.25">
      <c r="B13" s="39" t="s">
        <v>22</v>
      </c>
      <c r="C13" s="31">
        <v>453354359</v>
      </c>
      <c r="D13" s="31">
        <v>0</v>
      </c>
      <c r="E13" s="14">
        <v>7099000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f t="shared" si="0"/>
        <v>7099000</v>
      </c>
    </row>
    <row r="14" spans="2:17" x14ac:dyDescent="0.25">
      <c r="B14" s="39" t="s">
        <v>23</v>
      </c>
      <c r="C14" s="31">
        <v>3000000</v>
      </c>
      <c r="D14" s="31">
        <v>0</v>
      </c>
      <c r="E14" s="31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>
        <f t="shared" si="0"/>
        <v>0</v>
      </c>
    </row>
    <row r="15" spans="2:17" x14ac:dyDescent="0.25">
      <c r="B15" s="39" t="s">
        <v>24</v>
      </c>
      <c r="C15" s="31">
        <v>1000000</v>
      </c>
      <c r="D15" s="31"/>
      <c r="E15" s="31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0</v>
      </c>
    </row>
    <row r="16" spans="2:17" x14ac:dyDescent="0.25">
      <c r="B16" s="39" t="s">
        <v>25</v>
      </c>
      <c r="C16" s="31">
        <v>262944399</v>
      </c>
      <c r="D16" s="31">
        <v>0</v>
      </c>
      <c r="E16" s="14">
        <v>17128919.079999998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17128919.079999998</v>
      </c>
    </row>
    <row r="17" spans="2:17" x14ac:dyDescent="0.25">
      <c r="B17" s="37" t="s">
        <v>26</v>
      </c>
      <c r="C17" s="38">
        <v>754799881</v>
      </c>
      <c r="D17" s="38">
        <v>0</v>
      </c>
      <c r="E17" s="11">
        <f>+SUM(E18:E26)</f>
        <v>91335077.159999982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>
        <f>+SUM(E17:P17)</f>
        <v>91335077.159999982</v>
      </c>
    </row>
    <row r="18" spans="2:17" x14ac:dyDescent="0.25">
      <c r="B18" s="39" t="s">
        <v>27</v>
      </c>
      <c r="C18" s="31">
        <v>59410000</v>
      </c>
      <c r="D18" s="31">
        <v>0</v>
      </c>
      <c r="E18" s="14">
        <v>3297211.34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3297211.34</v>
      </c>
    </row>
    <row r="19" spans="2:17" x14ac:dyDescent="0.25">
      <c r="B19" s="39" t="s">
        <v>28</v>
      </c>
      <c r="C19" s="31">
        <v>54610000</v>
      </c>
      <c r="D19" s="31">
        <v>0</v>
      </c>
      <c r="E19" s="14">
        <v>250000.06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250000.06</v>
      </c>
    </row>
    <row r="20" spans="2:17" x14ac:dyDescent="0.25">
      <c r="B20" s="39" t="s">
        <v>29</v>
      </c>
      <c r="C20" s="31">
        <v>25600000</v>
      </c>
      <c r="D20" s="31">
        <v>0</v>
      </c>
      <c r="E20" s="14">
        <v>724750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>
        <f t="shared" si="0"/>
        <v>724750</v>
      </c>
    </row>
    <row r="21" spans="2:17" x14ac:dyDescent="0.25">
      <c r="B21" s="39" t="s">
        <v>30</v>
      </c>
      <c r="C21" s="31">
        <v>19500000</v>
      </c>
      <c r="D21" s="31">
        <v>0</v>
      </c>
      <c r="E21" s="14">
        <v>5339138.7699999996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5339138.7699999996</v>
      </c>
    </row>
    <row r="22" spans="2:17" x14ac:dyDescent="0.25">
      <c r="B22" s="39" t="s">
        <v>31</v>
      </c>
      <c r="C22" s="31">
        <v>206481551</v>
      </c>
      <c r="D22" s="31">
        <v>0</v>
      </c>
      <c r="E22" s="14">
        <v>21539465.850000001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21539465.850000001</v>
      </c>
    </row>
    <row r="23" spans="2:17" x14ac:dyDescent="0.25">
      <c r="B23" s="39" t="s">
        <v>32</v>
      </c>
      <c r="C23" s="31">
        <v>87010000</v>
      </c>
      <c r="D23" s="31">
        <v>0</v>
      </c>
      <c r="E23" s="14">
        <v>3780712.55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3780712.55</v>
      </c>
    </row>
    <row r="24" spans="2:17" x14ac:dyDescent="0.25">
      <c r="B24" s="39" t="s">
        <v>33</v>
      </c>
      <c r="C24" s="31">
        <v>30100000</v>
      </c>
      <c r="D24" s="31">
        <v>0</v>
      </c>
      <c r="E24" s="14">
        <v>2223381.2599999998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2223381.2599999998</v>
      </c>
    </row>
    <row r="25" spans="2:17" x14ac:dyDescent="0.25">
      <c r="B25" s="39" t="s">
        <v>34</v>
      </c>
      <c r="C25" s="31">
        <v>223088330</v>
      </c>
      <c r="D25" s="31">
        <v>0</v>
      </c>
      <c r="E25" s="14">
        <v>51874612.369999997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51874612.369999997</v>
      </c>
    </row>
    <row r="26" spans="2:17" x14ac:dyDescent="0.25">
      <c r="B26" s="39" t="s">
        <v>35</v>
      </c>
      <c r="C26" s="31">
        <v>49000000</v>
      </c>
      <c r="D26" s="31">
        <v>0</v>
      </c>
      <c r="E26" s="14">
        <v>2305804.96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2305804.96</v>
      </c>
    </row>
    <row r="27" spans="2:17" x14ac:dyDescent="0.25">
      <c r="B27" s="37" t="s">
        <v>36</v>
      </c>
      <c r="C27" s="38">
        <v>559237473</v>
      </c>
      <c r="D27" s="38">
        <v>0</v>
      </c>
      <c r="E27" s="11">
        <f>+SUM(E28:E36)</f>
        <v>47148828.850000001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2">
        <f t="shared" si="0"/>
        <v>47148828.850000001</v>
      </c>
    </row>
    <row r="28" spans="2:17" x14ac:dyDescent="0.25">
      <c r="B28" s="39" t="s">
        <v>37</v>
      </c>
      <c r="C28" s="31">
        <v>135260000</v>
      </c>
      <c r="D28" s="31">
        <v>0</v>
      </c>
      <c r="E28" s="14">
        <v>16232736.289999999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16232736.289999999</v>
      </c>
    </row>
    <row r="29" spans="2:17" x14ac:dyDescent="0.25">
      <c r="B29" s="39" t="s">
        <v>38</v>
      </c>
      <c r="C29" s="31">
        <v>4260000</v>
      </c>
      <c r="D29" s="31">
        <v>0</v>
      </c>
      <c r="E29" s="14"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0</v>
      </c>
    </row>
    <row r="30" spans="2:17" x14ac:dyDescent="0.25">
      <c r="B30" s="39" t="s">
        <v>39</v>
      </c>
      <c r="C30" s="31">
        <v>3100000</v>
      </c>
      <c r="D30" s="31">
        <v>0</v>
      </c>
      <c r="E30" s="31"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>
        <f t="shared" si="0"/>
        <v>0</v>
      </c>
    </row>
    <row r="31" spans="2:17" x14ac:dyDescent="0.25">
      <c r="B31" s="39" t="s">
        <v>40</v>
      </c>
      <c r="C31" s="31">
        <v>201341</v>
      </c>
      <c r="D31" s="31">
        <v>0</v>
      </c>
      <c r="E31" s="31"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0</v>
      </c>
    </row>
    <row r="32" spans="2:17" x14ac:dyDescent="0.25">
      <c r="B32" s="39" t="s">
        <v>41</v>
      </c>
      <c r="C32" s="31">
        <v>1060000</v>
      </c>
      <c r="D32" s="31">
        <v>0</v>
      </c>
      <c r="E32" s="14"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0</v>
      </c>
    </row>
    <row r="33" spans="2:17" x14ac:dyDescent="0.25">
      <c r="B33" s="39" t="s">
        <v>42</v>
      </c>
      <c r="C33" s="31">
        <v>279710000</v>
      </c>
      <c r="D33" s="31">
        <v>0</v>
      </c>
      <c r="E33" s="14">
        <v>28931558.239999998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28931558.239999998</v>
      </c>
    </row>
    <row r="34" spans="2:17" x14ac:dyDescent="0.25">
      <c r="B34" s="39" t="s">
        <v>43</v>
      </c>
      <c r="C34" s="31">
        <v>72230000</v>
      </c>
      <c r="D34" s="31">
        <v>0</v>
      </c>
      <c r="E34" s="14">
        <v>1763030.62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1763030.62</v>
      </c>
    </row>
    <row r="35" spans="2:17" x14ac:dyDescent="0.25">
      <c r="B35" s="39" t="s">
        <v>113</v>
      </c>
      <c r="C35" s="31">
        <v>0</v>
      </c>
      <c r="D35" s="31">
        <v>0</v>
      </c>
      <c r="E35" s="31"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0</v>
      </c>
    </row>
    <row r="36" spans="2:17" x14ac:dyDescent="0.25">
      <c r="B36" s="39" t="s">
        <v>45</v>
      </c>
      <c r="C36" s="31">
        <v>63416132</v>
      </c>
      <c r="D36" s="31">
        <v>0</v>
      </c>
      <c r="E36" s="14">
        <v>221503.7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221503.7</v>
      </c>
    </row>
    <row r="37" spans="2:17" x14ac:dyDescent="0.25">
      <c r="B37" s="37" t="s">
        <v>46</v>
      </c>
      <c r="C37" s="38">
        <v>67063000</v>
      </c>
      <c r="D37" s="38">
        <v>0</v>
      </c>
      <c r="E37" s="11">
        <f>+SUM(E38:E45)</f>
        <v>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>
        <f t="shared" si="0"/>
        <v>0</v>
      </c>
    </row>
    <row r="38" spans="2:17" x14ac:dyDescent="0.25">
      <c r="B38" s="39" t="s">
        <v>47</v>
      </c>
      <c r="C38" s="31">
        <v>61863000</v>
      </c>
      <c r="D38" s="31">
        <v>0</v>
      </c>
      <c r="E38" s="31"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39" t="s">
        <v>104</v>
      </c>
      <c r="C39" s="31">
        <v>5100000</v>
      </c>
      <c r="D39" s="31">
        <v>0</v>
      </c>
      <c r="E39" s="31"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0</v>
      </c>
    </row>
    <row r="40" spans="2:17" x14ac:dyDescent="0.25">
      <c r="B40" s="39" t="s">
        <v>49</v>
      </c>
      <c r="C40" s="31">
        <v>0</v>
      </c>
      <c r="D40" s="31">
        <v>0</v>
      </c>
      <c r="E40" s="31"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>
        <f t="shared" si="0"/>
        <v>0</v>
      </c>
    </row>
    <row r="41" spans="2:17" x14ac:dyDescent="0.25">
      <c r="B41" s="39" t="s">
        <v>114</v>
      </c>
      <c r="C41" s="31">
        <v>0</v>
      </c>
      <c r="D41" s="31">
        <v>0</v>
      </c>
      <c r="E41" s="31"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0</v>
      </c>
    </row>
    <row r="42" spans="2:17" x14ac:dyDescent="0.25">
      <c r="B42" s="39" t="s">
        <v>115</v>
      </c>
      <c r="C42" s="31">
        <v>0</v>
      </c>
      <c r="D42" s="31">
        <v>0</v>
      </c>
      <c r="E42" s="31"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39" t="s">
        <v>52</v>
      </c>
      <c r="C43" s="31">
        <v>0</v>
      </c>
      <c r="D43" s="31">
        <v>0</v>
      </c>
      <c r="E43" s="31"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39" t="s">
        <v>53</v>
      </c>
      <c r="C44" s="31">
        <v>100000</v>
      </c>
      <c r="D44" s="31">
        <v>0</v>
      </c>
      <c r="E44" s="31"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39" t="s">
        <v>116</v>
      </c>
      <c r="C45" s="31">
        <v>0</v>
      </c>
      <c r="D45" s="31">
        <v>891097444</v>
      </c>
      <c r="E45" s="31"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37" t="s">
        <v>55</v>
      </c>
      <c r="C46" s="38">
        <v>891107444</v>
      </c>
      <c r="D46" s="38"/>
      <c r="E46" s="11">
        <f>+SUM(E47:E53)</f>
        <v>0</v>
      </c>
      <c r="F46" s="16"/>
      <c r="G46" s="16"/>
      <c r="H46" s="17"/>
      <c r="I46" s="16"/>
      <c r="J46" s="16"/>
      <c r="K46" s="17"/>
      <c r="L46" s="16"/>
      <c r="M46" s="16"/>
      <c r="N46" s="17"/>
      <c r="O46" s="16"/>
      <c r="P46" s="16"/>
      <c r="Q46" s="11">
        <f t="shared" si="0"/>
        <v>0</v>
      </c>
    </row>
    <row r="47" spans="2:17" x14ac:dyDescent="0.25">
      <c r="B47" s="39" t="s">
        <v>117</v>
      </c>
      <c r="C47" s="31">
        <v>10000</v>
      </c>
      <c r="D47" s="31"/>
      <c r="E47" s="31">
        <v>0</v>
      </c>
      <c r="F47" s="18"/>
      <c r="G47" s="18"/>
      <c r="H47" s="19"/>
      <c r="I47" s="18"/>
      <c r="J47" s="18"/>
      <c r="K47" s="19"/>
      <c r="L47" s="18"/>
      <c r="M47" s="18"/>
      <c r="N47" s="19"/>
      <c r="O47" s="18"/>
      <c r="P47" s="18"/>
      <c r="Q47" s="14">
        <f t="shared" si="0"/>
        <v>0</v>
      </c>
    </row>
    <row r="48" spans="2:17" x14ac:dyDescent="0.25">
      <c r="B48" s="39" t="s">
        <v>57</v>
      </c>
      <c r="C48" s="31">
        <v>0</v>
      </c>
      <c r="D48" s="31"/>
      <c r="E48" s="31">
        <v>0</v>
      </c>
      <c r="F48" s="18"/>
      <c r="G48" s="18"/>
      <c r="H48" s="19"/>
      <c r="I48" s="18"/>
      <c r="J48" s="18"/>
      <c r="K48" s="19"/>
      <c r="L48" s="18"/>
      <c r="M48" s="18"/>
      <c r="N48" s="19"/>
      <c r="O48" s="18"/>
      <c r="P48" s="18"/>
      <c r="Q48" s="14">
        <f t="shared" si="0"/>
        <v>0</v>
      </c>
    </row>
    <row r="49" spans="2:17" x14ac:dyDescent="0.25">
      <c r="B49" s="39" t="s">
        <v>58</v>
      </c>
      <c r="C49" s="31">
        <v>0</v>
      </c>
      <c r="D49" s="31"/>
      <c r="E49" s="31">
        <v>0</v>
      </c>
      <c r="F49" s="18"/>
      <c r="G49" s="18"/>
      <c r="H49" s="19"/>
      <c r="I49" s="18"/>
      <c r="J49" s="18"/>
      <c r="K49" s="19"/>
      <c r="L49" s="18"/>
      <c r="M49" s="18"/>
      <c r="N49" s="19"/>
      <c r="O49" s="18"/>
      <c r="P49" s="18"/>
      <c r="Q49" s="14">
        <f t="shared" si="0"/>
        <v>0</v>
      </c>
    </row>
    <row r="50" spans="2:17" x14ac:dyDescent="0.25">
      <c r="B50" s="39" t="s">
        <v>59</v>
      </c>
      <c r="C50" s="31">
        <v>891097444</v>
      </c>
      <c r="D50" s="31">
        <v>310000000</v>
      </c>
      <c r="E50" s="31">
        <v>0</v>
      </c>
      <c r="F50" s="18"/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39" t="s">
        <v>118</v>
      </c>
      <c r="C51" s="31">
        <v>0</v>
      </c>
      <c r="D51" s="31"/>
      <c r="E51" s="31">
        <v>0</v>
      </c>
      <c r="F51" s="18"/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39" t="s">
        <v>61</v>
      </c>
      <c r="C52" s="31">
        <v>0</v>
      </c>
      <c r="D52" s="31"/>
      <c r="E52" s="31">
        <v>0</v>
      </c>
      <c r="F52" s="18"/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39" t="s">
        <v>119</v>
      </c>
      <c r="C53" s="31">
        <v>0</v>
      </c>
      <c r="D53" s="31"/>
      <c r="E53" s="31">
        <v>0</v>
      </c>
      <c r="F53" s="18"/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0</v>
      </c>
    </row>
    <row r="54" spans="2:17" x14ac:dyDescent="0.25">
      <c r="B54" s="37" t="s">
        <v>63</v>
      </c>
      <c r="C54" s="38">
        <v>1806102261</v>
      </c>
      <c r="D54" s="38">
        <v>0</v>
      </c>
      <c r="E54" s="11">
        <f>+SUM(E55:E63)</f>
        <v>96013150.329999998</v>
      </c>
      <c r="F54" s="16"/>
      <c r="G54" s="16"/>
      <c r="H54" s="17"/>
      <c r="I54" s="16"/>
      <c r="J54" s="16"/>
      <c r="K54" s="17"/>
      <c r="L54" s="16"/>
      <c r="M54" s="16"/>
      <c r="N54" s="17"/>
      <c r="O54" s="16"/>
      <c r="P54" s="16"/>
      <c r="Q54" s="11">
        <f t="shared" si="0"/>
        <v>96013150.329999998</v>
      </c>
    </row>
    <row r="55" spans="2:17" x14ac:dyDescent="0.25">
      <c r="B55" s="39" t="s">
        <v>64</v>
      </c>
      <c r="C55" s="31">
        <v>530138974</v>
      </c>
      <c r="D55" s="31">
        <v>0</v>
      </c>
      <c r="E55" s="14">
        <v>5989946.29</v>
      </c>
      <c r="F55" s="18"/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5989946.29</v>
      </c>
    </row>
    <row r="56" spans="2:17" x14ac:dyDescent="0.25">
      <c r="B56" s="39" t="s">
        <v>65</v>
      </c>
      <c r="C56" s="31">
        <v>5318259</v>
      </c>
      <c r="D56" s="31">
        <v>0</v>
      </c>
      <c r="E56" s="14">
        <v>0</v>
      </c>
      <c r="F56" s="18"/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39" t="s">
        <v>66</v>
      </c>
      <c r="C57" s="31">
        <v>1091092391</v>
      </c>
      <c r="D57" s="31"/>
      <c r="E57" s="14">
        <v>79221589.439999998</v>
      </c>
      <c r="F57" s="18"/>
      <c r="G57" s="18"/>
      <c r="H57" s="19"/>
      <c r="I57" s="18"/>
      <c r="J57" s="18"/>
      <c r="K57" s="19"/>
      <c r="L57" s="18"/>
      <c r="M57" s="18"/>
      <c r="N57" s="19"/>
      <c r="O57" s="18"/>
      <c r="P57" s="18"/>
      <c r="Q57" s="14">
        <f t="shared" si="0"/>
        <v>79221589.439999998</v>
      </c>
    </row>
    <row r="58" spans="2:17" x14ac:dyDescent="0.25">
      <c r="B58" s="39" t="s">
        <v>67</v>
      </c>
      <c r="C58" s="31">
        <v>730000</v>
      </c>
      <c r="D58" s="31">
        <v>0</v>
      </c>
      <c r="E58" s="14">
        <v>35164</v>
      </c>
      <c r="F58" s="18"/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35164</v>
      </c>
    </row>
    <row r="59" spans="2:17" x14ac:dyDescent="0.25">
      <c r="B59" s="39" t="s">
        <v>68</v>
      </c>
      <c r="C59" s="31">
        <v>66822637</v>
      </c>
      <c r="D59" s="31"/>
      <c r="E59" s="31">
        <v>0</v>
      </c>
      <c r="F59" s="18"/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0</v>
      </c>
    </row>
    <row r="60" spans="2:17" x14ac:dyDescent="0.25">
      <c r="B60" s="39" t="s">
        <v>69</v>
      </c>
      <c r="C60" s="31">
        <v>2000000</v>
      </c>
      <c r="D60" s="31">
        <v>0</v>
      </c>
      <c r="E60" s="14">
        <v>10766450.6</v>
      </c>
      <c r="F60" s="18"/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10766450.6</v>
      </c>
    </row>
    <row r="61" spans="2:17" x14ac:dyDescent="0.25">
      <c r="B61" s="39" t="s">
        <v>120</v>
      </c>
      <c r="C61" s="31">
        <v>0</v>
      </c>
      <c r="D61" s="31">
        <v>0</v>
      </c>
      <c r="E61" s="31">
        <v>0</v>
      </c>
      <c r="F61" s="18"/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39" t="s">
        <v>71</v>
      </c>
      <c r="C62" s="31">
        <v>30000000</v>
      </c>
      <c r="D62" s="31"/>
      <c r="E62" s="14">
        <v>0</v>
      </c>
      <c r="F62" s="18"/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0</v>
      </c>
    </row>
    <row r="63" spans="2:17" x14ac:dyDescent="0.25">
      <c r="B63" s="39" t="s">
        <v>72</v>
      </c>
      <c r="C63" s="31">
        <v>80000000</v>
      </c>
      <c r="D63" s="31">
        <v>0</v>
      </c>
      <c r="E63" s="31">
        <v>0</v>
      </c>
      <c r="F63" s="18"/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37" t="s">
        <v>73</v>
      </c>
      <c r="C64" s="38">
        <v>11125013810</v>
      </c>
      <c r="D64" s="38">
        <v>0</v>
      </c>
      <c r="E64" s="11">
        <f>+SUM(E65:E68)</f>
        <v>219386435.25</v>
      </c>
      <c r="F64" s="16"/>
      <c r="G64" s="16"/>
      <c r="H64" s="17"/>
      <c r="I64" s="16"/>
      <c r="J64" s="16"/>
      <c r="K64" s="17"/>
      <c r="L64" s="16"/>
      <c r="M64" s="16"/>
      <c r="N64" s="17"/>
      <c r="O64" s="16"/>
      <c r="P64" s="16"/>
      <c r="Q64" s="11">
        <f t="shared" si="0"/>
        <v>219386435.25</v>
      </c>
    </row>
    <row r="65" spans="2:17" x14ac:dyDescent="0.25">
      <c r="B65" s="39" t="s">
        <v>74</v>
      </c>
      <c r="C65" s="31">
        <v>9390660798</v>
      </c>
      <c r="D65" s="31">
        <v>0</v>
      </c>
      <c r="E65" s="14">
        <v>205686161.65000001</v>
      </c>
      <c r="F65" s="18"/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205686161.65000001</v>
      </c>
    </row>
    <row r="66" spans="2:17" x14ac:dyDescent="0.25">
      <c r="B66" s="39" t="s">
        <v>75</v>
      </c>
      <c r="C66" s="31">
        <v>1734353012</v>
      </c>
      <c r="D66" s="31">
        <v>0</v>
      </c>
      <c r="E66" s="14">
        <v>13700273.6</v>
      </c>
      <c r="F66" s="18"/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13700273.6</v>
      </c>
    </row>
    <row r="67" spans="2:17" x14ac:dyDescent="0.25">
      <c r="B67" s="39" t="s">
        <v>121</v>
      </c>
      <c r="C67" s="31">
        <v>0</v>
      </c>
      <c r="D67" s="31">
        <v>0</v>
      </c>
      <c r="E67" s="31">
        <v>0</v>
      </c>
      <c r="F67" s="18"/>
      <c r="G67" s="18"/>
      <c r="H67" s="19"/>
      <c r="I67" s="18"/>
      <c r="J67" s="18"/>
      <c r="K67" s="19"/>
      <c r="L67" s="18"/>
      <c r="M67" s="18"/>
      <c r="N67" s="19"/>
      <c r="O67" s="18"/>
      <c r="P67" s="18"/>
      <c r="Q67" s="14">
        <f t="shared" si="0"/>
        <v>0</v>
      </c>
    </row>
    <row r="68" spans="2:17" x14ac:dyDescent="0.25">
      <c r="B68" s="39" t="s">
        <v>122</v>
      </c>
      <c r="C68" s="31">
        <v>0</v>
      </c>
      <c r="D68" s="31">
        <v>0</v>
      </c>
      <c r="E68" s="31">
        <v>0</v>
      </c>
      <c r="F68" s="18"/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0</v>
      </c>
    </row>
    <row r="69" spans="2:17" x14ac:dyDescent="0.25">
      <c r="B69" s="37" t="s">
        <v>123</v>
      </c>
      <c r="C69" s="38">
        <v>0</v>
      </c>
      <c r="D69" s="38"/>
      <c r="E69" s="11">
        <f>+SUM(E70:E74)</f>
        <v>0</v>
      </c>
      <c r="F69" s="16"/>
      <c r="G69" s="16"/>
      <c r="H69" s="17"/>
      <c r="I69" s="16"/>
      <c r="J69" s="16"/>
      <c r="K69" s="17"/>
      <c r="L69" s="16"/>
      <c r="M69" s="16"/>
      <c r="N69" s="17"/>
      <c r="O69" s="16"/>
      <c r="P69" s="16"/>
      <c r="Q69" s="11">
        <f t="shared" si="0"/>
        <v>0</v>
      </c>
    </row>
    <row r="70" spans="2:17" x14ac:dyDescent="0.25">
      <c r="B70" s="39" t="s">
        <v>124</v>
      </c>
      <c r="C70" s="31">
        <v>0</v>
      </c>
      <c r="D70" s="31">
        <v>0</v>
      </c>
      <c r="E70" s="31">
        <v>0</v>
      </c>
      <c r="F70" s="18"/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39" t="s">
        <v>125</v>
      </c>
      <c r="C71" s="31">
        <v>0</v>
      </c>
      <c r="D71" s="31">
        <v>0</v>
      </c>
      <c r="E71" s="31">
        <v>0</v>
      </c>
      <c r="F71" s="18"/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39" t="s">
        <v>126</v>
      </c>
      <c r="C72" s="31">
        <v>0</v>
      </c>
      <c r="D72" s="31">
        <v>0</v>
      </c>
      <c r="E72" s="31">
        <v>0</v>
      </c>
      <c r="F72" s="18"/>
      <c r="G72" s="18"/>
      <c r="H72" s="19"/>
      <c r="I72" s="18"/>
      <c r="J72" s="18"/>
      <c r="K72" s="19"/>
      <c r="L72" s="18"/>
      <c r="M72" s="18"/>
      <c r="N72" s="19"/>
      <c r="O72" s="18"/>
      <c r="P72" s="18"/>
      <c r="Q72" s="14">
        <f t="shared" si="0"/>
        <v>0</v>
      </c>
    </row>
    <row r="73" spans="2:17" x14ac:dyDescent="0.25">
      <c r="B73" s="39" t="s">
        <v>82</v>
      </c>
      <c r="C73" s="31">
        <v>0</v>
      </c>
      <c r="D73" s="31">
        <v>0</v>
      </c>
      <c r="E73" s="31">
        <v>0</v>
      </c>
      <c r="F73" s="18"/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39" t="s">
        <v>127</v>
      </c>
      <c r="C74" s="31">
        <v>0</v>
      </c>
      <c r="D74" s="31">
        <v>0</v>
      </c>
      <c r="E74" s="31">
        <v>0</v>
      </c>
      <c r="F74" s="18"/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37" t="s">
        <v>84</v>
      </c>
      <c r="C75" s="38">
        <v>0</v>
      </c>
      <c r="D75" s="38">
        <v>0</v>
      </c>
      <c r="E75" s="11">
        <f>+SUM(E76:E80)</f>
        <v>0</v>
      </c>
      <c r="F75" s="16"/>
      <c r="G75" s="16"/>
      <c r="H75" s="17"/>
      <c r="I75" s="16"/>
      <c r="J75" s="16"/>
      <c r="K75" s="17"/>
      <c r="L75" s="16"/>
      <c r="M75" s="16"/>
      <c r="N75" s="17"/>
      <c r="O75" s="16"/>
      <c r="P75" s="16"/>
      <c r="Q75" s="11">
        <f t="shared" ref="Q75:Q89" si="1">+SUM(E75:P75)</f>
        <v>0</v>
      </c>
    </row>
    <row r="76" spans="2:17" x14ac:dyDescent="0.25">
      <c r="B76" s="39" t="s">
        <v>128</v>
      </c>
      <c r="C76" s="31">
        <v>0</v>
      </c>
      <c r="D76" s="31">
        <v>0</v>
      </c>
      <c r="E76" s="31">
        <v>0</v>
      </c>
      <c r="F76" s="18"/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>+SUM(E76:P76)</f>
        <v>0</v>
      </c>
    </row>
    <row r="77" spans="2:17" x14ac:dyDescent="0.25">
      <c r="B77" s="39" t="s">
        <v>129</v>
      </c>
      <c r="C77" s="31">
        <v>0</v>
      </c>
      <c r="D77" s="31">
        <v>0</v>
      </c>
      <c r="E77" s="31">
        <v>0</v>
      </c>
      <c r="F77" s="18"/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1"/>
        <v>0</v>
      </c>
    </row>
    <row r="78" spans="2:17" x14ac:dyDescent="0.25">
      <c r="B78" s="39" t="s">
        <v>87</v>
      </c>
      <c r="C78" s="31">
        <v>0</v>
      </c>
      <c r="D78" s="31">
        <v>0</v>
      </c>
      <c r="E78" s="31">
        <v>0</v>
      </c>
      <c r="F78" s="18"/>
      <c r="G78" s="18"/>
      <c r="H78" s="19"/>
      <c r="I78" s="18"/>
      <c r="J78" s="18"/>
      <c r="K78" s="19"/>
      <c r="L78" s="18"/>
      <c r="M78" s="18"/>
      <c r="N78" s="19"/>
      <c r="O78" s="18"/>
      <c r="P78" s="18"/>
      <c r="Q78" s="14">
        <f t="shared" si="1"/>
        <v>0</v>
      </c>
    </row>
    <row r="79" spans="2:17" x14ac:dyDescent="0.25">
      <c r="B79" s="39" t="s">
        <v>130</v>
      </c>
      <c r="C79" s="31">
        <v>0</v>
      </c>
      <c r="D79" s="31">
        <v>0</v>
      </c>
      <c r="E79" s="31">
        <v>0</v>
      </c>
      <c r="F79" s="18"/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39" t="s">
        <v>131</v>
      </c>
      <c r="C80" s="31">
        <v>0</v>
      </c>
      <c r="D80" s="31">
        <v>0</v>
      </c>
      <c r="E80" s="31">
        <v>0</v>
      </c>
      <c r="F80" s="18"/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20" t="s">
        <v>132</v>
      </c>
      <c r="C81" s="9">
        <v>0</v>
      </c>
      <c r="D81" s="9">
        <v>0</v>
      </c>
      <c r="E81" s="8">
        <f>+E82+E85+E88</f>
        <v>0</v>
      </c>
      <c r="F81" s="9"/>
      <c r="G81" s="9"/>
      <c r="H81" s="20"/>
      <c r="I81" s="9"/>
      <c r="J81" s="9"/>
      <c r="K81" s="20"/>
      <c r="L81" s="9"/>
      <c r="M81" s="9"/>
      <c r="N81" s="20"/>
      <c r="O81" s="9"/>
      <c r="P81" s="9"/>
      <c r="Q81" s="8">
        <f t="shared" si="1"/>
        <v>0</v>
      </c>
    </row>
    <row r="82" spans="2:17" x14ac:dyDescent="0.25">
      <c r="B82" s="37" t="s">
        <v>91</v>
      </c>
      <c r="C82" s="38">
        <v>0</v>
      </c>
      <c r="D82" s="38">
        <v>0</v>
      </c>
      <c r="E82" s="11">
        <f>+SUM(E83:E84)</f>
        <v>0</v>
      </c>
      <c r="F82" s="16"/>
      <c r="G82" s="16"/>
      <c r="H82" s="17"/>
      <c r="I82" s="16"/>
      <c r="J82" s="16"/>
      <c r="K82" s="17"/>
      <c r="L82" s="16"/>
      <c r="M82" s="16"/>
      <c r="N82" s="17"/>
      <c r="O82" s="16"/>
      <c r="P82" s="16"/>
      <c r="Q82" s="11">
        <f t="shared" si="1"/>
        <v>0</v>
      </c>
    </row>
    <row r="83" spans="2:17" x14ac:dyDescent="0.25">
      <c r="B83" s="39" t="s">
        <v>92</v>
      </c>
      <c r="C83" s="31">
        <v>0</v>
      </c>
      <c r="D83" s="31">
        <v>0</v>
      </c>
      <c r="E83" s="31">
        <v>0</v>
      </c>
      <c r="F83" s="18"/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39" t="s">
        <v>93</v>
      </c>
      <c r="C84" s="31">
        <v>0</v>
      </c>
      <c r="D84" s="31">
        <v>0</v>
      </c>
      <c r="E84" s="31">
        <v>0</v>
      </c>
      <c r="F84" s="18"/>
      <c r="G84" s="18"/>
      <c r="H84" s="19"/>
      <c r="I84" s="18"/>
      <c r="J84" s="18"/>
      <c r="K84" s="19"/>
      <c r="L84" s="18"/>
      <c r="M84" s="18"/>
      <c r="N84" s="19"/>
      <c r="O84" s="18"/>
      <c r="P84" s="18"/>
      <c r="Q84" s="14">
        <f t="shared" si="1"/>
        <v>0</v>
      </c>
    </row>
    <row r="85" spans="2:17" x14ac:dyDescent="0.25">
      <c r="B85" s="37" t="s">
        <v>94</v>
      </c>
      <c r="C85" s="38">
        <v>0</v>
      </c>
      <c r="D85" s="38">
        <v>0</v>
      </c>
      <c r="E85" s="11">
        <f>+SUM(E86:E87)</f>
        <v>0</v>
      </c>
      <c r="F85" s="16"/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39" t="s">
        <v>95</v>
      </c>
      <c r="C86" s="31">
        <v>0</v>
      </c>
      <c r="D86" s="31">
        <v>0</v>
      </c>
      <c r="E86" s="31">
        <v>0</v>
      </c>
      <c r="F86" s="18"/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ht="15" customHeight="1" x14ac:dyDescent="0.25">
      <c r="B87" s="39" t="s">
        <v>133</v>
      </c>
      <c r="C87" s="31">
        <v>0</v>
      </c>
      <c r="D87" s="31">
        <v>0</v>
      </c>
      <c r="E87" s="31">
        <v>0</v>
      </c>
      <c r="F87" s="18"/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37" t="s">
        <v>97</v>
      </c>
      <c r="C88" s="38">
        <v>0</v>
      </c>
      <c r="D88" s="38">
        <v>0</v>
      </c>
      <c r="E88" s="21">
        <f>+SUM(E89)</f>
        <v>0</v>
      </c>
      <c r="F88" s="16"/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ht="15.75" thickBot="1" x14ac:dyDescent="0.3">
      <c r="B89" s="39" t="s">
        <v>134</v>
      </c>
      <c r="C89" s="31">
        <v>0</v>
      </c>
      <c r="D89" s="31">
        <v>0</v>
      </c>
      <c r="E89" s="31">
        <v>0</v>
      </c>
      <c r="F89" s="18"/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ht="15.75" thickTop="1" x14ac:dyDescent="0.25">
      <c r="B90" s="40" t="s">
        <v>99</v>
      </c>
      <c r="C90" s="41">
        <f>+SUM(C11+C17+C27+C37+C46+C54+C64)</f>
        <v>17535521617</v>
      </c>
      <c r="D90" s="41"/>
      <c r="E90" s="22">
        <f t="shared" ref="E90:P90" si="2">+E10</f>
        <v>590359800.66999996</v>
      </c>
      <c r="F90" s="23">
        <f t="shared" si="2"/>
        <v>0</v>
      </c>
      <c r="G90" s="23">
        <f t="shared" si="2"/>
        <v>0</v>
      </c>
      <c r="H90" s="22">
        <f t="shared" si="2"/>
        <v>0</v>
      </c>
      <c r="I90" s="23">
        <f t="shared" si="2"/>
        <v>0</v>
      </c>
      <c r="J90" s="23">
        <f t="shared" si="2"/>
        <v>0</v>
      </c>
      <c r="K90" s="22">
        <f t="shared" si="2"/>
        <v>0</v>
      </c>
      <c r="L90" s="23">
        <f t="shared" si="2"/>
        <v>0</v>
      </c>
      <c r="M90" s="23">
        <f t="shared" si="2"/>
        <v>0</v>
      </c>
      <c r="N90" s="22">
        <f t="shared" si="2"/>
        <v>0</v>
      </c>
      <c r="O90" s="23">
        <f t="shared" si="2"/>
        <v>0</v>
      </c>
      <c r="P90" s="23">
        <f t="shared" si="2"/>
        <v>0</v>
      </c>
      <c r="Q90" s="22">
        <f t="shared" ref="Q90" si="3">SUM(E90:P90)</f>
        <v>590359800.66999996</v>
      </c>
    </row>
    <row r="92" spans="2:17" ht="15.75" thickBot="1" x14ac:dyDescent="0.3">
      <c r="B92" s="32" t="s">
        <v>103</v>
      </c>
    </row>
    <row r="93" spans="2:17" ht="15.75" thickBot="1" x14ac:dyDescent="0.3">
      <c r="B93" s="33" t="s">
        <v>100</v>
      </c>
    </row>
    <row r="94" spans="2:17" ht="30.75" thickBot="1" x14ac:dyDescent="0.3">
      <c r="B94" s="34" t="s">
        <v>101</v>
      </c>
    </row>
    <row r="95" spans="2:17" x14ac:dyDescent="0.25">
      <c r="B95" s="42" t="s">
        <v>102</v>
      </c>
    </row>
    <row r="96" spans="2:17" ht="15.75" thickBot="1" x14ac:dyDescent="0.3">
      <c r="B96" s="55"/>
    </row>
    <row r="97" spans="2:2" ht="15.75" thickBot="1" x14ac:dyDescent="0.3">
      <c r="B97" s="56" t="s">
        <v>136</v>
      </c>
    </row>
  </sheetData>
  <mergeCells count="7">
    <mergeCell ref="B95:B96"/>
    <mergeCell ref="B3:D3"/>
    <mergeCell ref="B4:D4"/>
    <mergeCell ref="B5:D5"/>
    <mergeCell ref="B6:D6"/>
    <mergeCell ref="B7:D7"/>
    <mergeCell ref="B8:C8"/>
  </mergeCells>
  <pageMargins left="0.70866141732283472" right="0.70866141732283472" top="0.35433070866141736" bottom="1.4566929133858268" header="0.31496062992125984" footer="0.31496062992125984"/>
  <pageSetup paperSize="9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8F5D1-4594-4A66-A94F-B5183B128B3E}">
  <sheetPr>
    <pageSetUpPr fitToPage="1"/>
  </sheetPr>
  <dimension ref="B4:R99"/>
  <sheetViews>
    <sheetView showGridLines="0" topLeftCell="A46" zoomScale="70" zoomScaleNormal="70" workbookViewId="0">
      <selection activeCell="B12" sqref="B12:R93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5" width="29.28515625" customWidth="1"/>
    <col min="6" max="6" width="21.7109375" bestFit="1" customWidth="1"/>
    <col min="7" max="7" width="9.7109375" bestFit="1" customWidth="1"/>
    <col min="8" max="8" width="8" bestFit="1" customWidth="1"/>
    <col min="9" max="12" width="7.42578125" customWidth="1"/>
    <col min="13" max="13" width="8.85546875" bestFit="1" customWidth="1"/>
    <col min="14" max="14" width="13.85546875" bestFit="1" customWidth="1"/>
    <col min="15" max="15" width="10.28515625" bestFit="1" customWidth="1"/>
    <col min="16" max="16" width="13.140625" bestFit="1" customWidth="1"/>
    <col min="17" max="17" width="12.42578125" bestFit="1" customWidth="1"/>
    <col min="18" max="18" width="23.140625" bestFit="1" customWidth="1"/>
  </cols>
  <sheetData>
    <row r="4" spans="2:18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8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8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2:18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2:18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2:18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</row>
    <row r="10" spans="2:18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8" ht="18.75" x14ac:dyDescent="0.25">
      <c r="B12" s="3" t="s">
        <v>3</v>
      </c>
      <c r="C12" s="3" t="s">
        <v>4</v>
      </c>
      <c r="D12" s="3" t="s">
        <v>5</v>
      </c>
      <c r="E12" s="3"/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13</v>
      </c>
      <c r="N12" s="4" t="s">
        <v>14</v>
      </c>
      <c r="O12" s="4" t="s">
        <v>15</v>
      </c>
      <c r="P12" s="4" t="s">
        <v>16</v>
      </c>
      <c r="Q12" s="4" t="s">
        <v>17</v>
      </c>
      <c r="R12" s="5" t="s">
        <v>18</v>
      </c>
    </row>
    <row r="13" spans="2:18" x14ac:dyDescent="0.25">
      <c r="B13" s="6" t="s">
        <v>19</v>
      </c>
      <c r="C13" s="7">
        <v>13772224962</v>
      </c>
      <c r="D13" s="7">
        <v>498832438</v>
      </c>
      <c r="E13" s="7"/>
      <c r="F13" s="8">
        <f>+F14+F20+F30+F40+F49+F57+F67+F72+F78+F85+F88+F91</f>
        <v>559848065.21000004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>
        <f>+SUM(F13:Q13)</f>
        <v>559848065.21000004</v>
      </c>
    </row>
    <row r="14" spans="2:18" x14ac:dyDescent="0.25">
      <c r="B14" s="10" t="s">
        <v>20</v>
      </c>
      <c r="C14" s="7">
        <v>2169203385</v>
      </c>
      <c r="D14" s="7">
        <v>185208489</v>
      </c>
      <c r="E14" s="7"/>
      <c r="F14" s="11">
        <f>+SUM(F15:F19)</f>
        <v>122453982.7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2">
        <f t="shared" ref="R14:R77" si="0">+SUM(F14:Q14)</f>
        <v>122453982.7</v>
      </c>
    </row>
    <row r="15" spans="2:18" x14ac:dyDescent="0.25">
      <c r="B15" s="13" t="s">
        <v>21</v>
      </c>
      <c r="C15" s="7">
        <v>1517975142.1199999</v>
      </c>
      <c r="D15" s="7">
        <v>110573529.12</v>
      </c>
      <c r="E15" s="7"/>
      <c r="F15" s="14">
        <v>101617924.5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5">
        <f t="shared" si="0"/>
        <v>101617924.5</v>
      </c>
    </row>
    <row r="16" spans="2:18" x14ac:dyDescent="0.25">
      <c r="B16" s="13" t="s">
        <v>22</v>
      </c>
      <c r="C16" s="7">
        <v>412263200</v>
      </c>
      <c r="D16" s="7">
        <v>1342000</v>
      </c>
      <c r="E16" s="7"/>
      <c r="F16" s="14">
        <v>5343500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5343500</v>
      </c>
    </row>
    <row r="17" spans="2:18" x14ac:dyDescent="0.25">
      <c r="B17" s="13" t="s">
        <v>23</v>
      </c>
      <c r="C17" s="7">
        <v>3000000</v>
      </c>
      <c r="D17" s="7">
        <v>0</v>
      </c>
      <c r="E17" s="7"/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0"/>
        <v>0</v>
      </c>
    </row>
    <row r="18" spans="2:18" x14ac:dyDescent="0.25">
      <c r="B18" s="13" t="s">
        <v>24</v>
      </c>
      <c r="C18" s="7">
        <v>0</v>
      </c>
      <c r="D18" s="7">
        <v>0</v>
      </c>
      <c r="E18" s="7"/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0</v>
      </c>
    </row>
    <row r="19" spans="2:18" x14ac:dyDescent="0.25">
      <c r="B19" s="13" t="s">
        <v>25</v>
      </c>
      <c r="C19" s="7">
        <v>235965042.88</v>
      </c>
      <c r="D19" s="7">
        <v>73292959.879999995</v>
      </c>
      <c r="E19" s="7"/>
      <c r="F19" s="14">
        <v>15492558.199999999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15492558.199999999</v>
      </c>
    </row>
    <row r="20" spans="2:18" x14ac:dyDescent="0.25">
      <c r="B20" s="10" t="s">
        <v>26</v>
      </c>
      <c r="C20" s="7">
        <v>890951904</v>
      </c>
      <c r="D20" s="7">
        <v>-53402000</v>
      </c>
      <c r="E20" s="7"/>
      <c r="F20" s="11">
        <f>+SUM(F21:F29)</f>
        <v>40556595.619999997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2">
        <f t="shared" si="0"/>
        <v>40556595.619999997</v>
      </c>
    </row>
    <row r="21" spans="2:18" x14ac:dyDescent="0.25">
      <c r="B21" s="13" t="s">
        <v>27</v>
      </c>
      <c r="C21" s="7">
        <v>57930000</v>
      </c>
      <c r="D21" s="7">
        <v>0</v>
      </c>
      <c r="E21" s="7"/>
      <c r="F21" s="14">
        <v>2264859.66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5">
        <f t="shared" si="0"/>
        <v>2264859.66</v>
      </c>
    </row>
    <row r="22" spans="2:18" x14ac:dyDescent="0.25">
      <c r="B22" s="13" t="s">
        <v>28</v>
      </c>
      <c r="C22" s="7">
        <v>126615000</v>
      </c>
      <c r="D22" s="7">
        <v>0</v>
      </c>
      <c r="E22" s="7"/>
      <c r="F22" s="14">
        <v>17951984.289999999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5">
        <f t="shared" si="0"/>
        <v>17951984.289999999</v>
      </c>
    </row>
    <row r="23" spans="2:18" x14ac:dyDescent="0.25">
      <c r="B23" s="13" t="s">
        <v>29</v>
      </c>
      <c r="C23" s="7">
        <v>25005000</v>
      </c>
      <c r="D23" s="7">
        <v>0</v>
      </c>
      <c r="E23" s="7"/>
      <c r="F23" s="14">
        <v>2072860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>
        <f t="shared" si="0"/>
        <v>2072860</v>
      </c>
    </row>
    <row r="24" spans="2:18" x14ac:dyDescent="0.25">
      <c r="B24" s="13" t="s">
        <v>30</v>
      </c>
      <c r="C24" s="7">
        <v>41519800</v>
      </c>
      <c r="D24" s="7">
        <v>24309800</v>
      </c>
      <c r="E24" s="7"/>
      <c r="F24" s="14">
        <v>0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>
        <f t="shared" si="0"/>
        <v>0</v>
      </c>
    </row>
    <row r="25" spans="2:18" x14ac:dyDescent="0.25">
      <c r="B25" s="13" t="s">
        <v>31</v>
      </c>
      <c r="C25" s="7">
        <v>148603946</v>
      </c>
      <c r="D25" s="7">
        <v>-34400000</v>
      </c>
      <c r="E25" s="7"/>
      <c r="F25" s="14">
        <v>5971519.7999999998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f t="shared" si="0"/>
        <v>5971519.7999999998</v>
      </c>
    </row>
    <row r="26" spans="2:18" x14ac:dyDescent="0.25">
      <c r="B26" s="13" t="s">
        <v>32</v>
      </c>
      <c r="C26" s="7">
        <v>68010000</v>
      </c>
      <c r="D26" s="7">
        <v>-17000000</v>
      </c>
      <c r="E26" s="7"/>
      <c r="F26" s="14">
        <v>3437155.26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>
        <f t="shared" si="0"/>
        <v>3437155.26</v>
      </c>
    </row>
    <row r="27" spans="2:18" x14ac:dyDescent="0.25">
      <c r="B27" s="13" t="s">
        <v>33</v>
      </c>
      <c r="C27" s="7">
        <v>78962636</v>
      </c>
      <c r="D27" s="7">
        <v>-19000000</v>
      </c>
      <c r="E27" s="7"/>
      <c r="F27" s="14">
        <v>605822.69999999995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>
        <f t="shared" si="0"/>
        <v>605822.69999999995</v>
      </c>
    </row>
    <row r="28" spans="2:18" x14ac:dyDescent="0.25">
      <c r="B28" s="13" t="s">
        <v>34</v>
      </c>
      <c r="C28" s="7">
        <v>282195915.56</v>
      </c>
      <c r="D28" s="7">
        <v>-19921406.439999998</v>
      </c>
      <c r="E28" s="7"/>
      <c r="F28" s="14">
        <v>5604429.3499999996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5">
        <f t="shared" si="0"/>
        <v>5604429.3499999996</v>
      </c>
    </row>
    <row r="29" spans="2:18" x14ac:dyDescent="0.25">
      <c r="B29" s="13" t="s">
        <v>35</v>
      </c>
      <c r="C29" s="7">
        <v>62109606.439999998</v>
      </c>
      <c r="D29" s="7">
        <v>12609606.440000001</v>
      </c>
      <c r="E29" s="7"/>
      <c r="F29" s="14">
        <v>2647964.56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2647964.56</v>
      </c>
    </row>
    <row r="30" spans="2:18" x14ac:dyDescent="0.25">
      <c r="B30" s="10" t="s">
        <v>36</v>
      </c>
      <c r="C30" s="7">
        <v>603027715</v>
      </c>
      <c r="D30" s="7">
        <v>495241458</v>
      </c>
      <c r="E30" s="7"/>
      <c r="F30" s="11">
        <f>+SUM(F31:F39)</f>
        <v>3027970.37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2">
        <f t="shared" si="0"/>
        <v>3027970.37</v>
      </c>
    </row>
    <row r="31" spans="2:18" x14ac:dyDescent="0.25">
      <c r="B31" s="13" t="s">
        <v>37</v>
      </c>
      <c r="C31" s="7">
        <v>156359767</v>
      </c>
      <c r="D31" s="7">
        <v>151056138</v>
      </c>
      <c r="E31" s="7"/>
      <c r="F31" s="14">
        <v>491955.4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>
        <f t="shared" si="0"/>
        <v>491955.4</v>
      </c>
    </row>
    <row r="32" spans="2:18" x14ac:dyDescent="0.25">
      <c r="B32" s="13" t="s">
        <v>38</v>
      </c>
      <c r="C32" s="7">
        <v>4505351</v>
      </c>
      <c r="D32" s="7">
        <v>395351</v>
      </c>
      <c r="E32" s="7"/>
      <c r="F32" s="14">
        <v>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5">
        <f t="shared" si="0"/>
        <v>0</v>
      </c>
    </row>
    <row r="33" spans="2:18" x14ac:dyDescent="0.25">
      <c r="B33" s="13" t="s">
        <v>39</v>
      </c>
      <c r="C33" s="7">
        <v>3232371</v>
      </c>
      <c r="D33" s="7">
        <v>-1655000</v>
      </c>
      <c r="E33" s="7"/>
      <c r="F33" s="14">
        <v>396554.34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5">
        <f t="shared" si="0"/>
        <v>396554.34</v>
      </c>
    </row>
    <row r="34" spans="2:18" x14ac:dyDescent="0.25">
      <c r="B34" s="13" t="s">
        <v>40</v>
      </c>
      <c r="C34" s="7">
        <v>494580</v>
      </c>
      <c r="D34" s="7">
        <v>-205420</v>
      </c>
      <c r="E34" s="7"/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5">
        <f t="shared" si="0"/>
        <v>0</v>
      </c>
    </row>
    <row r="35" spans="2:18" x14ac:dyDescent="0.25">
      <c r="B35" s="13" t="s">
        <v>41</v>
      </c>
      <c r="C35" s="7">
        <v>3190000</v>
      </c>
      <c r="D35" s="7">
        <v>1170000</v>
      </c>
      <c r="E35" s="7"/>
      <c r="F35" s="14"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5">
        <f t="shared" si="0"/>
        <v>0</v>
      </c>
    </row>
    <row r="36" spans="2:18" x14ac:dyDescent="0.25">
      <c r="B36" s="13" t="s">
        <v>42</v>
      </c>
      <c r="C36" s="7">
        <v>337950267</v>
      </c>
      <c r="D36" s="7">
        <v>327900010</v>
      </c>
      <c r="E36" s="7"/>
      <c r="F36" s="14">
        <v>81378.460000000006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81378.460000000006</v>
      </c>
    </row>
    <row r="37" spans="2:18" x14ac:dyDescent="0.25">
      <c r="B37" s="13" t="s">
        <v>43</v>
      </c>
      <c r="C37" s="7">
        <v>73480379</v>
      </c>
      <c r="D37" s="7">
        <v>9610379</v>
      </c>
      <c r="E37" s="7"/>
      <c r="F37" s="14">
        <v>984457.46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>
        <f t="shared" si="0"/>
        <v>984457.46</v>
      </c>
    </row>
    <row r="38" spans="2:18" x14ac:dyDescent="0.25">
      <c r="B38" s="13" t="s">
        <v>44</v>
      </c>
      <c r="C38" s="7">
        <v>0</v>
      </c>
      <c r="D38" s="7">
        <v>0</v>
      </c>
      <c r="E38" s="7"/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5">
        <f t="shared" si="0"/>
        <v>0</v>
      </c>
    </row>
    <row r="39" spans="2:18" x14ac:dyDescent="0.25">
      <c r="B39" s="13" t="s">
        <v>45</v>
      </c>
      <c r="C39" s="7">
        <v>23815000</v>
      </c>
      <c r="D39" s="7">
        <v>6970000</v>
      </c>
      <c r="E39" s="7"/>
      <c r="F39" s="14">
        <v>1073624.71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>
        <f t="shared" si="0"/>
        <v>1073624.71</v>
      </c>
    </row>
    <row r="40" spans="2:18" x14ac:dyDescent="0.25">
      <c r="B40" s="10" t="s">
        <v>46</v>
      </c>
      <c r="C40" s="7">
        <v>41130000</v>
      </c>
      <c r="D40" s="7">
        <v>0</v>
      </c>
      <c r="E40" s="7"/>
      <c r="F40" s="11">
        <f>+SUM(F41:F48)</f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2">
        <f t="shared" si="0"/>
        <v>0</v>
      </c>
    </row>
    <row r="41" spans="2:18" x14ac:dyDescent="0.25">
      <c r="B41" s="13" t="s">
        <v>47</v>
      </c>
      <c r="C41" s="7">
        <v>41130000</v>
      </c>
      <c r="D41" s="7">
        <v>0</v>
      </c>
      <c r="E41" s="7"/>
      <c r="F41" s="14">
        <v>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>
        <f t="shared" si="0"/>
        <v>0</v>
      </c>
    </row>
    <row r="42" spans="2:18" x14ac:dyDescent="0.25">
      <c r="B42" s="13" t="s">
        <v>48</v>
      </c>
      <c r="C42" s="7">
        <v>0</v>
      </c>
      <c r="D42" s="7">
        <v>0</v>
      </c>
      <c r="E42" s="7"/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0</v>
      </c>
    </row>
    <row r="43" spans="2:18" x14ac:dyDescent="0.25">
      <c r="B43" s="13" t="s">
        <v>49</v>
      </c>
      <c r="C43" s="7">
        <v>0</v>
      </c>
      <c r="D43" s="7">
        <v>0</v>
      </c>
      <c r="E43" s="7"/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5">
        <f t="shared" si="0"/>
        <v>0</v>
      </c>
    </row>
    <row r="44" spans="2:18" x14ac:dyDescent="0.25">
      <c r="B44" s="13" t="s">
        <v>50</v>
      </c>
      <c r="C44" s="7">
        <v>0</v>
      </c>
      <c r="D44" s="7">
        <v>0</v>
      </c>
      <c r="E44" s="7"/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5">
        <f t="shared" si="0"/>
        <v>0</v>
      </c>
    </row>
    <row r="45" spans="2:18" x14ac:dyDescent="0.25">
      <c r="B45" s="13" t="s">
        <v>51</v>
      </c>
      <c r="C45" s="7">
        <v>0</v>
      </c>
      <c r="D45" s="7">
        <v>0</v>
      </c>
      <c r="E45" s="7"/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>
        <f t="shared" si="0"/>
        <v>0</v>
      </c>
    </row>
    <row r="46" spans="2:18" x14ac:dyDescent="0.25">
      <c r="B46" s="13" t="s">
        <v>52</v>
      </c>
      <c r="C46" s="7">
        <v>0</v>
      </c>
      <c r="D46" s="7">
        <v>0</v>
      </c>
      <c r="E46" s="7"/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>
        <f t="shared" si="0"/>
        <v>0</v>
      </c>
    </row>
    <row r="47" spans="2:18" x14ac:dyDescent="0.25">
      <c r="B47" s="13" t="s">
        <v>53</v>
      </c>
      <c r="C47" s="7">
        <v>0</v>
      </c>
      <c r="D47" s="7">
        <v>0</v>
      </c>
      <c r="E47" s="7"/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5">
        <f t="shared" si="0"/>
        <v>0</v>
      </c>
    </row>
    <row r="48" spans="2:18" x14ac:dyDescent="0.25">
      <c r="B48" s="13" t="s">
        <v>54</v>
      </c>
      <c r="C48" s="7">
        <v>0</v>
      </c>
      <c r="D48" s="7">
        <v>0</v>
      </c>
      <c r="E48" s="7"/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>
        <f t="shared" si="0"/>
        <v>0</v>
      </c>
    </row>
    <row r="49" spans="2:18" x14ac:dyDescent="0.25">
      <c r="B49" s="10" t="s">
        <v>55</v>
      </c>
      <c r="C49" s="7">
        <v>1432429475</v>
      </c>
      <c r="D49" s="7">
        <v>270000000</v>
      </c>
      <c r="E49" s="7"/>
      <c r="F49" s="11">
        <f>+SUM(F50:F56)</f>
        <v>0</v>
      </c>
      <c r="G49" s="16"/>
      <c r="H49" s="16"/>
      <c r="I49" s="17"/>
      <c r="J49" s="16"/>
      <c r="K49" s="16"/>
      <c r="L49" s="17"/>
      <c r="M49" s="16"/>
      <c r="N49" s="16"/>
      <c r="O49" s="17"/>
      <c r="P49" s="16"/>
      <c r="Q49" s="16"/>
      <c r="R49" s="11">
        <f t="shared" si="0"/>
        <v>0</v>
      </c>
    </row>
    <row r="50" spans="2:18" x14ac:dyDescent="0.25">
      <c r="B50" s="13" t="s">
        <v>56</v>
      </c>
      <c r="C50" s="7">
        <v>0</v>
      </c>
      <c r="D50" s="7">
        <v>0</v>
      </c>
      <c r="E50" s="7"/>
      <c r="F50" s="14">
        <v>0</v>
      </c>
      <c r="G50" s="18"/>
      <c r="H50" s="18"/>
      <c r="I50" s="19"/>
      <c r="J50" s="18"/>
      <c r="K50" s="18"/>
      <c r="L50" s="19"/>
      <c r="M50" s="18"/>
      <c r="N50" s="18"/>
      <c r="O50" s="19"/>
      <c r="P50" s="18"/>
      <c r="Q50" s="18"/>
      <c r="R50" s="14">
        <f t="shared" si="0"/>
        <v>0</v>
      </c>
    </row>
    <row r="51" spans="2:18" x14ac:dyDescent="0.25">
      <c r="B51" s="13" t="s">
        <v>57</v>
      </c>
      <c r="C51" s="7">
        <v>0</v>
      </c>
      <c r="D51" s="7">
        <v>0</v>
      </c>
      <c r="E51" s="7"/>
      <c r="F51" s="14">
        <v>0</v>
      </c>
      <c r="G51" s="18"/>
      <c r="H51" s="18"/>
      <c r="I51" s="19"/>
      <c r="J51" s="18"/>
      <c r="K51" s="18"/>
      <c r="L51" s="19"/>
      <c r="M51" s="18"/>
      <c r="N51" s="18"/>
      <c r="O51" s="19"/>
      <c r="P51" s="18"/>
      <c r="Q51" s="18"/>
      <c r="R51" s="14">
        <f t="shared" si="0"/>
        <v>0</v>
      </c>
    </row>
    <row r="52" spans="2:18" x14ac:dyDescent="0.25">
      <c r="B52" s="13" t="s">
        <v>58</v>
      </c>
      <c r="C52" s="7">
        <v>0</v>
      </c>
      <c r="D52" s="7">
        <v>0</v>
      </c>
      <c r="E52" s="7"/>
      <c r="F52" s="14">
        <v>0</v>
      </c>
      <c r="G52" s="18"/>
      <c r="H52" s="18"/>
      <c r="I52" s="19"/>
      <c r="J52" s="18"/>
      <c r="K52" s="18"/>
      <c r="L52" s="19"/>
      <c r="M52" s="18"/>
      <c r="N52" s="18"/>
      <c r="O52" s="19"/>
      <c r="P52" s="18"/>
      <c r="Q52" s="18"/>
      <c r="R52" s="14">
        <f t="shared" si="0"/>
        <v>0</v>
      </c>
    </row>
    <row r="53" spans="2:18" x14ac:dyDescent="0.25">
      <c r="B53" s="13" t="s">
        <v>59</v>
      </c>
      <c r="C53" s="7">
        <v>1432429475</v>
      </c>
      <c r="D53" s="7">
        <v>270000000</v>
      </c>
      <c r="E53" s="7"/>
      <c r="F53" s="14">
        <v>0</v>
      </c>
      <c r="G53" s="18"/>
      <c r="H53" s="18"/>
      <c r="I53" s="19"/>
      <c r="J53" s="18"/>
      <c r="K53" s="18"/>
      <c r="L53" s="19"/>
      <c r="M53" s="18"/>
      <c r="N53" s="18"/>
      <c r="O53" s="19"/>
      <c r="P53" s="18"/>
      <c r="Q53" s="18"/>
      <c r="R53" s="14">
        <f t="shared" si="0"/>
        <v>0</v>
      </c>
    </row>
    <row r="54" spans="2:18" x14ac:dyDescent="0.25">
      <c r="B54" s="13" t="s">
        <v>60</v>
      </c>
      <c r="C54" s="7">
        <v>0</v>
      </c>
      <c r="D54" s="7">
        <v>0</v>
      </c>
      <c r="E54" s="7"/>
      <c r="F54" s="14">
        <v>0</v>
      </c>
      <c r="G54" s="18"/>
      <c r="H54" s="18"/>
      <c r="I54" s="19"/>
      <c r="J54" s="18"/>
      <c r="K54" s="18"/>
      <c r="L54" s="19"/>
      <c r="M54" s="18"/>
      <c r="N54" s="18"/>
      <c r="O54" s="19"/>
      <c r="P54" s="18"/>
      <c r="Q54" s="18"/>
      <c r="R54" s="14">
        <f t="shared" si="0"/>
        <v>0</v>
      </c>
    </row>
    <row r="55" spans="2:18" x14ac:dyDescent="0.25">
      <c r="B55" s="13" t="s">
        <v>61</v>
      </c>
      <c r="C55" s="7">
        <v>0</v>
      </c>
      <c r="D55" s="7">
        <v>0</v>
      </c>
      <c r="E55" s="7"/>
      <c r="F55" s="14">
        <v>0</v>
      </c>
      <c r="G55" s="18"/>
      <c r="H55" s="18"/>
      <c r="I55" s="19"/>
      <c r="J55" s="18"/>
      <c r="K55" s="18"/>
      <c r="L55" s="19"/>
      <c r="M55" s="18"/>
      <c r="N55" s="18"/>
      <c r="O55" s="19"/>
      <c r="P55" s="18"/>
      <c r="Q55" s="18"/>
      <c r="R55" s="14">
        <f t="shared" si="0"/>
        <v>0</v>
      </c>
    </row>
    <row r="56" spans="2:18" x14ac:dyDescent="0.25">
      <c r="B56" s="13" t="s">
        <v>62</v>
      </c>
      <c r="C56" s="7">
        <v>0</v>
      </c>
      <c r="D56" s="7">
        <v>0</v>
      </c>
      <c r="E56" s="7"/>
      <c r="F56" s="14">
        <v>0</v>
      </c>
      <c r="G56" s="18"/>
      <c r="H56" s="18"/>
      <c r="I56" s="19"/>
      <c r="J56" s="18"/>
      <c r="K56" s="18"/>
      <c r="L56" s="19"/>
      <c r="M56" s="18"/>
      <c r="N56" s="18"/>
      <c r="O56" s="19"/>
      <c r="P56" s="18"/>
      <c r="Q56" s="18"/>
      <c r="R56" s="14">
        <f t="shared" si="0"/>
        <v>0</v>
      </c>
    </row>
    <row r="57" spans="2:18" x14ac:dyDescent="0.25">
      <c r="B57" s="10" t="s">
        <v>63</v>
      </c>
      <c r="C57" s="7">
        <v>1960491203</v>
      </c>
      <c r="D57" s="7">
        <v>157494239</v>
      </c>
      <c r="E57" s="7"/>
      <c r="F57" s="11">
        <f>+SUM(F58:F66)</f>
        <v>102908557.17</v>
      </c>
      <c r="G57" s="16"/>
      <c r="H57" s="16"/>
      <c r="I57" s="17"/>
      <c r="J57" s="16"/>
      <c r="K57" s="16"/>
      <c r="L57" s="17"/>
      <c r="M57" s="16"/>
      <c r="N57" s="16"/>
      <c r="O57" s="17"/>
      <c r="P57" s="16"/>
      <c r="Q57" s="16"/>
      <c r="R57" s="11">
        <f t="shared" si="0"/>
        <v>102908557.17</v>
      </c>
    </row>
    <row r="58" spans="2:18" x14ac:dyDescent="0.25">
      <c r="B58" s="13" t="s">
        <v>64</v>
      </c>
      <c r="C58" s="7">
        <v>306806631</v>
      </c>
      <c r="D58" s="7">
        <v>200760681</v>
      </c>
      <c r="E58" s="7"/>
      <c r="F58" s="14">
        <v>17901662.170000002</v>
      </c>
      <c r="G58" s="18"/>
      <c r="H58" s="18"/>
      <c r="I58" s="19"/>
      <c r="J58" s="18"/>
      <c r="K58" s="18"/>
      <c r="L58" s="19"/>
      <c r="M58" s="18"/>
      <c r="N58" s="18"/>
      <c r="O58" s="19"/>
      <c r="P58" s="18"/>
      <c r="Q58" s="18"/>
      <c r="R58" s="14">
        <f t="shared" si="0"/>
        <v>17901662.170000002</v>
      </c>
    </row>
    <row r="59" spans="2:18" x14ac:dyDescent="0.25">
      <c r="B59" s="13" t="s">
        <v>65</v>
      </c>
      <c r="C59" s="7">
        <v>7942136</v>
      </c>
      <c r="D59" s="7">
        <v>3400000</v>
      </c>
      <c r="E59" s="7"/>
      <c r="F59" s="14">
        <v>131605.4</v>
      </c>
      <c r="G59" s="18"/>
      <c r="H59" s="18"/>
      <c r="I59" s="19"/>
      <c r="J59" s="18"/>
      <c r="K59" s="18"/>
      <c r="L59" s="19"/>
      <c r="M59" s="18"/>
      <c r="N59" s="18"/>
      <c r="O59" s="19"/>
      <c r="P59" s="18"/>
      <c r="Q59" s="18"/>
      <c r="R59" s="14">
        <f t="shared" si="0"/>
        <v>131605.4</v>
      </c>
    </row>
    <row r="60" spans="2:18" x14ac:dyDescent="0.25">
      <c r="B60" s="13" t="s">
        <v>66</v>
      </c>
      <c r="C60" s="7">
        <v>1218573710</v>
      </c>
      <c r="D60" s="7">
        <v>-64764818</v>
      </c>
      <c r="E60" s="7"/>
      <c r="F60" s="14">
        <v>84622113.519999996</v>
      </c>
      <c r="G60" s="18"/>
      <c r="H60" s="18"/>
      <c r="I60" s="19"/>
      <c r="J60" s="18"/>
      <c r="K60" s="18"/>
      <c r="L60" s="19"/>
      <c r="M60" s="18"/>
      <c r="N60" s="18"/>
      <c r="O60" s="19"/>
      <c r="P60" s="18"/>
      <c r="Q60" s="18"/>
      <c r="R60" s="14">
        <f t="shared" si="0"/>
        <v>84622113.519999996</v>
      </c>
    </row>
    <row r="61" spans="2:18" x14ac:dyDescent="0.25">
      <c r="B61" s="13" t="s">
        <v>67</v>
      </c>
      <c r="C61" s="7">
        <v>53160000</v>
      </c>
      <c r="D61" s="7">
        <v>1430000</v>
      </c>
      <c r="E61" s="7"/>
      <c r="F61" s="14">
        <v>0</v>
      </c>
      <c r="G61" s="18"/>
      <c r="H61" s="18"/>
      <c r="I61" s="19"/>
      <c r="J61" s="18"/>
      <c r="K61" s="18"/>
      <c r="L61" s="19"/>
      <c r="M61" s="18"/>
      <c r="N61" s="18"/>
      <c r="O61" s="19"/>
      <c r="P61" s="18"/>
      <c r="Q61" s="18"/>
      <c r="R61" s="14">
        <f t="shared" si="0"/>
        <v>0</v>
      </c>
    </row>
    <row r="62" spans="2:18" x14ac:dyDescent="0.25">
      <c r="B62" s="13" t="s">
        <v>68</v>
      </c>
      <c r="C62" s="7">
        <v>304446775</v>
      </c>
      <c r="D62" s="7">
        <v>19067976</v>
      </c>
      <c r="E62" s="7"/>
      <c r="F62" s="14">
        <v>253176.08</v>
      </c>
      <c r="G62" s="18"/>
      <c r="H62" s="18"/>
      <c r="I62" s="19"/>
      <c r="J62" s="18"/>
      <c r="K62" s="18"/>
      <c r="L62" s="19"/>
      <c r="M62" s="18"/>
      <c r="N62" s="18"/>
      <c r="O62" s="19"/>
      <c r="P62" s="18"/>
      <c r="Q62" s="18"/>
      <c r="R62" s="14">
        <f t="shared" si="0"/>
        <v>253176.08</v>
      </c>
    </row>
    <row r="63" spans="2:18" x14ac:dyDescent="0.25">
      <c r="B63" s="13" t="s">
        <v>69</v>
      </c>
      <c r="C63" s="7">
        <v>14400000</v>
      </c>
      <c r="D63" s="7">
        <v>14400000</v>
      </c>
      <c r="E63" s="7"/>
      <c r="F63" s="14">
        <v>0</v>
      </c>
      <c r="G63" s="18"/>
      <c r="H63" s="18"/>
      <c r="I63" s="19"/>
      <c r="J63" s="18"/>
      <c r="K63" s="18"/>
      <c r="L63" s="19"/>
      <c r="M63" s="18"/>
      <c r="N63" s="18"/>
      <c r="O63" s="19"/>
      <c r="P63" s="18"/>
      <c r="Q63" s="18"/>
      <c r="R63" s="14">
        <f t="shared" si="0"/>
        <v>0</v>
      </c>
    </row>
    <row r="64" spans="2:18" x14ac:dyDescent="0.25">
      <c r="B64" s="13" t="s">
        <v>70</v>
      </c>
      <c r="C64" s="7">
        <v>0</v>
      </c>
      <c r="D64" s="7">
        <v>0</v>
      </c>
      <c r="E64" s="7"/>
      <c r="F64" s="14">
        <v>0</v>
      </c>
      <c r="G64" s="18"/>
      <c r="H64" s="18"/>
      <c r="I64" s="19"/>
      <c r="J64" s="18"/>
      <c r="K64" s="18"/>
      <c r="L64" s="19"/>
      <c r="M64" s="18"/>
      <c r="N64" s="18"/>
      <c r="O64" s="19"/>
      <c r="P64" s="18"/>
      <c r="Q64" s="18"/>
      <c r="R64" s="14">
        <f t="shared" si="0"/>
        <v>0</v>
      </c>
    </row>
    <row r="65" spans="2:18" x14ac:dyDescent="0.25">
      <c r="B65" s="13" t="s">
        <v>71</v>
      </c>
      <c r="C65" s="7">
        <v>42010000</v>
      </c>
      <c r="D65" s="7">
        <v>-8000000</v>
      </c>
      <c r="E65" s="7"/>
      <c r="F65" s="14">
        <v>0</v>
      </c>
      <c r="G65" s="18"/>
      <c r="H65" s="18"/>
      <c r="I65" s="19"/>
      <c r="J65" s="18"/>
      <c r="K65" s="18"/>
      <c r="L65" s="19"/>
      <c r="M65" s="18"/>
      <c r="N65" s="18"/>
      <c r="O65" s="19"/>
      <c r="P65" s="18"/>
      <c r="Q65" s="18"/>
      <c r="R65" s="14">
        <f t="shared" si="0"/>
        <v>0</v>
      </c>
    </row>
    <row r="66" spans="2:18" x14ac:dyDescent="0.25">
      <c r="B66" s="13" t="s">
        <v>72</v>
      </c>
      <c r="C66" s="7">
        <v>13151951</v>
      </c>
      <c r="D66" s="7">
        <v>-8799600</v>
      </c>
      <c r="E66" s="7"/>
      <c r="F66" s="14">
        <v>0</v>
      </c>
      <c r="G66" s="18"/>
      <c r="H66" s="18"/>
      <c r="I66" s="19"/>
      <c r="J66" s="18"/>
      <c r="K66" s="18"/>
      <c r="L66" s="19"/>
      <c r="M66" s="18"/>
      <c r="N66" s="18"/>
      <c r="O66" s="19"/>
      <c r="P66" s="18"/>
      <c r="Q66" s="18"/>
      <c r="R66" s="14">
        <f t="shared" si="0"/>
        <v>0</v>
      </c>
    </row>
    <row r="67" spans="2:18" x14ac:dyDescent="0.25">
      <c r="B67" s="10" t="s">
        <v>73</v>
      </c>
      <c r="C67" s="7">
        <v>6674991280</v>
      </c>
      <c r="D67" s="7">
        <v>-555709748</v>
      </c>
      <c r="E67" s="7"/>
      <c r="F67" s="11">
        <f>+SUM(F68:F71)</f>
        <v>290900959.35000002</v>
      </c>
      <c r="G67" s="16"/>
      <c r="H67" s="16"/>
      <c r="I67" s="17"/>
      <c r="J67" s="16"/>
      <c r="K67" s="16"/>
      <c r="L67" s="17"/>
      <c r="M67" s="16"/>
      <c r="N67" s="16"/>
      <c r="O67" s="17"/>
      <c r="P67" s="16"/>
      <c r="Q67" s="16"/>
      <c r="R67" s="11">
        <f t="shared" si="0"/>
        <v>290900959.35000002</v>
      </c>
    </row>
    <row r="68" spans="2:18" x14ac:dyDescent="0.25">
      <c r="B68" s="13" t="s">
        <v>74</v>
      </c>
      <c r="C68" s="7">
        <v>5781743562</v>
      </c>
      <c r="D68" s="7">
        <v>-1033850246</v>
      </c>
      <c r="E68" s="7"/>
      <c r="F68" s="14">
        <v>290900959.35000002</v>
      </c>
      <c r="G68" s="18"/>
      <c r="H68" s="18"/>
      <c r="I68" s="19"/>
      <c r="J68" s="18"/>
      <c r="K68" s="18"/>
      <c r="L68" s="19"/>
      <c r="M68" s="18"/>
      <c r="N68" s="18"/>
      <c r="O68" s="19"/>
      <c r="P68" s="18"/>
      <c r="Q68" s="18"/>
      <c r="R68" s="14">
        <f t="shared" si="0"/>
        <v>290900959.35000002</v>
      </c>
    </row>
    <row r="69" spans="2:18" x14ac:dyDescent="0.25">
      <c r="B69" s="13" t="s">
        <v>75</v>
      </c>
      <c r="C69" s="7">
        <v>893247718</v>
      </c>
      <c r="D69" s="7">
        <v>478140498</v>
      </c>
      <c r="E69" s="7"/>
      <c r="F69" s="14">
        <v>0</v>
      </c>
      <c r="G69" s="18"/>
      <c r="H69" s="18"/>
      <c r="I69" s="19"/>
      <c r="J69" s="18"/>
      <c r="K69" s="18"/>
      <c r="L69" s="19"/>
      <c r="M69" s="18"/>
      <c r="N69" s="18"/>
      <c r="O69" s="19"/>
      <c r="P69" s="18"/>
      <c r="Q69" s="18"/>
      <c r="R69" s="14">
        <f t="shared" si="0"/>
        <v>0</v>
      </c>
    </row>
    <row r="70" spans="2:18" x14ac:dyDescent="0.25">
      <c r="B70" s="13" t="s">
        <v>76</v>
      </c>
      <c r="C70" s="7">
        <v>0</v>
      </c>
      <c r="D70" s="7">
        <v>0</v>
      </c>
      <c r="E70" s="7"/>
      <c r="F70" s="14">
        <v>0</v>
      </c>
      <c r="G70" s="18"/>
      <c r="H70" s="18"/>
      <c r="I70" s="19"/>
      <c r="J70" s="18"/>
      <c r="K70" s="18"/>
      <c r="L70" s="19"/>
      <c r="M70" s="18"/>
      <c r="N70" s="18"/>
      <c r="O70" s="19"/>
      <c r="P70" s="18"/>
      <c r="Q70" s="18"/>
      <c r="R70" s="14">
        <f t="shared" si="0"/>
        <v>0</v>
      </c>
    </row>
    <row r="71" spans="2:18" x14ac:dyDescent="0.25">
      <c r="B71" s="13" t="s">
        <v>77</v>
      </c>
      <c r="C71" s="7">
        <v>0</v>
      </c>
      <c r="D71" s="7">
        <v>0</v>
      </c>
      <c r="E71" s="7"/>
      <c r="F71" s="14">
        <v>0</v>
      </c>
      <c r="G71" s="18"/>
      <c r="H71" s="18"/>
      <c r="I71" s="19"/>
      <c r="J71" s="18"/>
      <c r="K71" s="18"/>
      <c r="L71" s="19"/>
      <c r="M71" s="18"/>
      <c r="N71" s="18"/>
      <c r="O71" s="19"/>
      <c r="P71" s="18"/>
      <c r="Q71" s="18"/>
      <c r="R71" s="14">
        <f t="shared" si="0"/>
        <v>0</v>
      </c>
    </row>
    <row r="72" spans="2:18" x14ac:dyDescent="0.25">
      <c r="B72" s="10" t="s">
        <v>78</v>
      </c>
      <c r="C72" s="7">
        <v>0</v>
      </c>
      <c r="D72" s="7">
        <v>0</v>
      </c>
      <c r="E72" s="7"/>
      <c r="F72" s="11">
        <f>+SUM(F73:F77)</f>
        <v>0</v>
      </c>
      <c r="G72" s="16"/>
      <c r="H72" s="16"/>
      <c r="I72" s="17"/>
      <c r="J72" s="16"/>
      <c r="K72" s="16"/>
      <c r="L72" s="17"/>
      <c r="M72" s="16"/>
      <c r="N72" s="16"/>
      <c r="O72" s="17"/>
      <c r="P72" s="16"/>
      <c r="Q72" s="16"/>
      <c r="R72" s="11">
        <f t="shared" si="0"/>
        <v>0</v>
      </c>
    </row>
    <row r="73" spans="2:18" x14ac:dyDescent="0.25">
      <c r="B73" s="13" t="s">
        <v>79</v>
      </c>
      <c r="C73" s="7">
        <v>0</v>
      </c>
      <c r="D73" s="7">
        <v>0</v>
      </c>
      <c r="E73" s="7"/>
      <c r="F73" s="14">
        <v>0</v>
      </c>
      <c r="G73" s="18"/>
      <c r="H73" s="18"/>
      <c r="I73" s="19"/>
      <c r="J73" s="18"/>
      <c r="K73" s="18"/>
      <c r="L73" s="19"/>
      <c r="M73" s="18"/>
      <c r="N73" s="18"/>
      <c r="O73" s="19"/>
      <c r="P73" s="18"/>
      <c r="Q73" s="18"/>
      <c r="R73" s="14">
        <f t="shared" si="0"/>
        <v>0</v>
      </c>
    </row>
    <row r="74" spans="2:18" x14ac:dyDescent="0.25">
      <c r="B74" s="13" t="s">
        <v>80</v>
      </c>
      <c r="C74" s="7">
        <v>0</v>
      </c>
      <c r="D74" s="7">
        <v>0</v>
      </c>
      <c r="E74" s="7"/>
      <c r="F74" s="14">
        <v>0</v>
      </c>
      <c r="G74" s="18"/>
      <c r="H74" s="18"/>
      <c r="I74" s="19"/>
      <c r="J74" s="18"/>
      <c r="K74" s="18"/>
      <c r="L74" s="19"/>
      <c r="M74" s="18"/>
      <c r="N74" s="18"/>
      <c r="O74" s="19"/>
      <c r="P74" s="18"/>
      <c r="Q74" s="18"/>
      <c r="R74" s="14">
        <f t="shared" si="0"/>
        <v>0</v>
      </c>
    </row>
    <row r="75" spans="2:18" x14ac:dyDescent="0.25">
      <c r="B75" s="13" t="s">
        <v>81</v>
      </c>
      <c r="C75" s="7">
        <v>0</v>
      </c>
      <c r="D75" s="7">
        <v>0</v>
      </c>
      <c r="E75" s="7"/>
      <c r="F75" s="14">
        <v>0</v>
      </c>
      <c r="G75" s="18"/>
      <c r="H75" s="18"/>
      <c r="I75" s="19"/>
      <c r="J75" s="18"/>
      <c r="K75" s="18"/>
      <c r="L75" s="19"/>
      <c r="M75" s="18"/>
      <c r="N75" s="18"/>
      <c r="O75" s="19"/>
      <c r="P75" s="18"/>
      <c r="Q75" s="18"/>
      <c r="R75" s="14">
        <f t="shared" si="0"/>
        <v>0</v>
      </c>
    </row>
    <row r="76" spans="2:18" x14ac:dyDescent="0.25">
      <c r="B76" s="13" t="s">
        <v>82</v>
      </c>
      <c r="C76" s="7">
        <v>0</v>
      </c>
      <c r="D76" s="7">
        <v>0</v>
      </c>
      <c r="E76" s="7"/>
      <c r="F76" s="14">
        <v>0</v>
      </c>
      <c r="G76" s="18"/>
      <c r="H76" s="18"/>
      <c r="I76" s="19"/>
      <c r="J76" s="18"/>
      <c r="K76" s="18"/>
      <c r="L76" s="19"/>
      <c r="M76" s="18"/>
      <c r="N76" s="18"/>
      <c r="O76" s="19"/>
      <c r="P76" s="18"/>
      <c r="Q76" s="18"/>
      <c r="R76" s="14">
        <f t="shared" si="0"/>
        <v>0</v>
      </c>
    </row>
    <row r="77" spans="2:18" x14ac:dyDescent="0.25">
      <c r="B77" s="13" t="s">
        <v>83</v>
      </c>
      <c r="C77" s="7">
        <v>0</v>
      </c>
      <c r="D77" s="7">
        <v>0</v>
      </c>
      <c r="E77" s="7"/>
      <c r="F77" s="14">
        <v>0</v>
      </c>
      <c r="G77" s="18"/>
      <c r="H77" s="18"/>
      <c r="I77" s="19"/>
      <c r="J77" s="18"/>
      <c r="K77" s="18"/>
      <c r="L77" s="19"/>
      <c r="M77" s="18"/>
      <c r="N77" s="18"/>
      <c r="O77" s="19"/>
      <c r="P77" s="18"/>
      <c r="Q77" s="18"/>
      <c r="R77" s="14">
        <f t="shared" si="0"/>
        <v>0</v>
      </c>
    </row>
    <row r="78" spans="2:18" x14ac:dyDescent="0.25">
      <c r="B78" s="10" t="s">
        <v>84</v>
      </c>
      <c r="C78" s="7">
        <v>0</v>
      </c>
      <c r="D78" s="7">
        <v>0</v>
      </c>
      <c r="E78" s="7"/>
      <c r="F78" s="11">
        <f>+SUM(F79:F83)</f>
        <v>0</v>
      </c>
      <c r="G78" s="16"/>
      <c r="H78" s="16"/>
      <c r="I78" s="17"/>
      <c r="J78" s="16"/>
      <c r="K78" s="16"/>
      <c r="L78" s="17"/>
      <c r="M78" s="16"/>
      <c r="N78" s="16"/>
      <c r="O78" s="17"/>
      <c r="P78" s="16"/>
      <c r="Q78" s="16"/>
      <c r="R78" s="11">
        <f t="shared" ref="R78:R92" si="1">+SUM(F78:Q78)</f>
        <v>0</v>
      </c>
    </row>
    <row r="79" spans="2:18" x14ac:dyDescent="0.25">
      <c r="B79" s="13" t="s">
        <v>85</v>
      </c>
      <c r="C79" s="7">
        <v>0</v>
      </c>
      <c r="D79" s="7">
        <v>0</v>
      </c>
      <c r="E79" s="7"/>
      <c r="F79" s="14">
        <v>0</v>
      </c>
      <c r="G79" s="18"/>
      <c r="H79" s="18"/>
      <c r="I79" s="19"/>
      <c r="J79" s="18"/>
      <c r="K79" s="18"/>
      <c r="L79" s="19"/>
      <c r="M79" s="18"/>
      <c r="N79" s="18"/>
      <c r="O79" s="19"/>
      <c r="P79" s="18"/>
      <c r="Q79" s="18"/>
      <c r="R79" s="14">
        <f t="shared" si="1"/>
        <v>0</v>
      </c>
    </row>
    <row r="80" spans="2:18" x14ac:dyDescent="0.25">
      <c r="B80" s="13" t="s">
        <v>86</v>
      </c>
      <c r="C80" s="7">
        <v>0</v>
      </c>
      <c r="D80" s="7">
        <v>0</v>
      </c>
      <c r="E80" s="7"/>
      <c r="F80" s="14">
        <v>0</v>
      </c>
      <c r="G80" s="18"/>
      <c r="H80" s="18"/>
      <c r="I80" s="19"/>
      <c r="J80" s="18"/>
      <c r="K80" s="18"/>
      <c r="L80" s="19"/>
      <c r="M80" s="18"/>
      <c r="N80" s="18"/>
      <c r="O80" s="19"/>
      <c r="P80" s="18"/>
      <c r="Q80" s="18"/>
      <c r="R80" s="14">
        <f t="shared" si="1"/>
        <v>0</v>
      </c>
    </row>
    <row r="81" spans="2:18" x14ac:dyDescent="0.25">
      <c r="B81" s="13" t="s">
        <v>87</v>
      </c>
      <c r="C81" s="7">
        <v>0</v>
      </c>
      <c r="D81" s="7">
        <v>0</v>
      </c>
      <c r="E81" s="7"/>
      <c r="F81" s="14">
        <v>0</v>
      </c>
      <c r="G81" s="18"/>
      <c r="H81" s="18"/>
      <c r="I81" s="19"/>
      <c r="J81" s="18"/>
      <c r="K81" s="18"/>
      <c r="L81" s="19"/>
      <c r="M81" s="18"/>
      <c r="N81" s="18"/>
      <c r="O81" s="19"/>
      <c r="P81" s="18"/>
      <c r="Q81" s="18"/>
      <c r="R81" s="14">
        <f t="shared" si="1"/>
        <v>0</v>
      </c>
    </row>
    <row r="82" spans="2:18" x14ac:dyDescent="0.25">
      <c r="B82" s="13" t="s">
        <v>88</v>
      </c>
      <c r="C82" s="7">
        <v>0</v>
      </c>
      <c r="D82" s="7">
        <v>0</v>
      </c>
      <c r="E82" s="7"/>
      <c r="F82" s="14">
        <v>0</v>
      </c>
      <c r="G82" s="18"/>
      <c r="H82" s="18"/>
      <c r="I82" s="19"/>
      <c r="J82" s="18"/>
      <c r="K82" s="18"/>
      <c r="L82" s="19"/>
      <c r="M82" s="18"/>
      <c r="N82" s="18"/>
      <c r="O82" s="19"/>
      <c r="P82" s="18"/>
      <c r="Q82" s="18"/>
      <c r="R82" s="14">
        <f t="shared" si="1"/>
        <v>0</v>
      </c>
    </row>
    <row r="83" spans="2:18" x14ac:dyDescent="0.25">
      <c r="B83" s="13" t="s">
        <v>89</v>
      </c>
      <c r="C83" s="7">
        <v>0</v>
      </c>
      <c r="D83" s="7">
        <v>0</v>
      </c>
      <c r="E83" s="7"/>
      <c r="F83" s="14">
        <v>0</v>
      </c>
      <c r="G83" s="18"/>
      <c r="H83" s="18"/>
      <c r="I83" s="19"/>
      <c r="J83" s="18"/>
      <c r="K83" s="18"/>
      <c r="L83" s="19"/>
      <c r="M83" s="18"/>
      <c r="N83" s="18"/>
      <c r="O83" s="19"/>
      <c r="P83" s="18"/>
      <c r="Q83" s="18"/>
      <c r="R83" s="14">
        <f t="shared" si="1"/>
        <v>0</v>
      </c>
    </row>
    <row r="84" spans="2:18" x14ac:dyDescent="0.25">
      <c r="B84" s="6" t="s">
        <v>90</v>
      </c>
      <c r="C84" s="7">
        <v>0</v>
      </c>
      <c r="D84" s="7">
        <v>0</v>
      </c>
      <c r="E84" s="7"/>
      <c r="F84" s="8">
        <f>+F85+F88+F91</f>
        <v>0</v>
      </c>
      <c r="G84" s="9"/>
      <c r="H84" s="9"/>
      <c r="I84" s="20"/>
      <c r="J84" s="9"/>
      <c r="K84" s="9"/>
      <c r="L84" s="20"/>
      <c r="M84" s="9"/>
      <c r="N84" s="9"/>
      <c r="O84" s="20"/>
      <c r="P84" s="9"/>
      <c r="Q84" s="9"/>
      <c r="R84" s="8">
        <f t="shared" si="1"/>
        <v>0</v>
      </c>
    </row>
    <row r="85" spans="2:18" x14ac:dyDescent="0.25">
      <c r="B85" s="10" t="s">
        <v>91</v>
      </c>
      <c r="C85" s="7">
        <v>0</v>
      </c>
      <c r="D85" s="7">
        <v>0</v>
      </c>
      <c r="E85" s="7"/>
      <c r="F85" s="11">
        <f>+SUM(F86:F87)</f>
        <v>0</v>
      </c>
      <c r="G85" s="16"/>
      <c r="H85" s="16"/>
      <c r="I85" s="17"/>
      <c r="J85" s="16"/>
      <c r="K85" s="16"/>
      <c r="L85" s="17"/>
      <c r="M85" s="16"/>
      <c r="N85" s="16"/>
      <c r="O85" s="17"/>
      <c r="P85" s="16"/>
      <c r="Q85" s="16"/>
      <c r="R85" s="11">
        <f t="shared" si="1"/>
        <v>0</v>
      </c>
    </row>
    <row r="86" spans="2:18" x14ac:dyDescent="0.25">
      <c r="B86" s="13" t="s">
        <v>92</v>
      </c>
      <c r="C86" s="7">
        <v>0</v>
      </c>
      <c r="D86" s="7">
        <v>0</v>
      </c>
      <c r="E86" s="7"/>
      <c r="F86" s="14">
        <v>0</v>
      </c>
      <c r="G86" s="18"/>
      <c r="H86" s="18"/>
      <c r="I86" s="19"/>
      <c r="J86" s="18"/>
      <c r="K86" s="18"/>
      <c r="L86" s="19"/>
      <c r="M86" s="18"/>
      <c r="N86" s="18"/>
      <c r="O86" s="19"/>
      <c r="P86" s="18"/>
      <c r="Q86" s="18"/>
      <c r="R86" s="14">
        <f t="shared" si="1"/>
        <v>0</v>
      </c>
    </row>
    <row r="87" spans="2:18" x14ac:dyDescent="0.25">
      <c r="B87" s="13" t="s">
        <v>93</v>
      </c>
      <c r="C87" s="7">
        <v>0</v>
      </c>
      <c r="D87" s="7">
        <v>0</v>
      </c>
      <c r="E87" s="7"/>
      <c r="F87" s="14">
        <v>0</v>
      </c>
      <c r="G87" s="18"/>
      <c r="H87" s="18"/>
      <c r="I87" s="19"/>
      <c r="J87" s="18"/>
      <c r="K87" s="18"/>
      <c r="L87" s="19"/>
      <c r="M87" s="18"/>
      <c r="N87" s="18"/>
      <c r="O87" s="19"/>
      <c r="P87" s="18"/>
      <c r="Q87" s="18"/>
      <c r="R87" s="14">
        <f t="shared" si="1"/>
        <v>0</v>
      </c>
    </row>
    <row r="88" spans="2:18" x14ac:dyDescent="0.25">
      <c r="B88" s="10" t="s">
        <v>94</v>
      </c>
      <c r="C88" s="7">
        <v>0</v>
      </c>
      <c r="D88" s="7">
        <v>0</v>
      </c>
      <c r="E88" s="7"/>
      <c r="F88" s="11">
        <f>+SUM(F89:F90)</f>
        <v>0</v>
      </c>
      <c r="G88" s="16"/>
      <c r="H88" s="16"/>
      <c r="I88" s="17"/>
      <c r="J88" s="16"/>
      <c r="K88" s="16"/>
      <c r="L88" s="17"/>
      <c r="M88" s="16"/>
      <c r="N88" s="16"/>
      <c r="O88" s="17"/>
      <c r="P88" s="16"/>
      <c r="Q88" s="16"/>
      <c r="R88" s="11">
        <f t="shared" si="1"/>
        <v>0</v>
      </c>
    </row>
    <row r="89" spans="2:18" x14ac:dyDescent="0.25">
      <c r="B89" s="13" t="s">
        <v>95</v>
      </c>
      <c r="C89" s="7">
        <v>0</v>
      </c>
      <c r="D89" s="7">
        <v>0</v>
      </c>
      <c r="E89" s="7"/>
      <c r="F89" s="14">
        <v>0</v>
      </c>
      <c r="G89" s="18"/>
      <c r="H89" s="18"/>
      <c r="I89" s="19"/>
      <c r="J89" s="18"/>
      <c r="K89" s="18"/>
      <c r="L89" s="19"/>
      <c r="M89" s="18"/>
      <c r="N89" s="18"/>
      <c r="O89" s="19"/>
      <c r="P89" s="18"/>
      <c r="Q89" s="18"/>
      <c r="R89" s="14">
        <f t="shared" si="1"/>
        <v>0</v>
      </c>
    </row>
    <row r="90" spans="2:18" x14ac:dyDescent="0.25">
      <c r="B90" s="13" t="s">
        <v>96</v>
      </c>
      <c r="C90" s="7">
        <v>0</v>
      </c>
      <c r="D90" s="7">
        <v>0</v>
      </c>
      <c r="E90" s="7"/>
      <c r="F90" s="14">
        <v>0</v>
      </c>
      <c r="G90" s="18"/>
      <c r="H90" s="18"/>
      <c r="I90" s="19"/>
      <c r="J90" s="18"/>
      <c r="K90" s="18"/>
      <c r="L90" s="19"/>
      <c r="M90" s="18"/>
      <c r="N90" s="18"/>
      <c r="O90" s="19"/>
      <c r="P90" s="18"/>
      <c r="Q90" s="18"/>
      <c r="R90" s="14">
        <f t="shared" si="1"/>
        <v>0</v>
      </c>
    </row>
    <row r="91" spans="2:18" x14ac:dyDescent="0.25">
      <c r="B91" s="10" t="s">
        <v>97</v>
      </c>
      <c r="C91" s="7">
        <v>0</v>
      </c>
      <c r="D91" s="7">
        <v>0</v>
      </c>
      <c r="E91" s="7"/>
      <c r="F91" s="21">
        <f>+SUM(F92)</f>
        <v>0</v>
      </c>
      <c r="G91" s="16"/>
      <c r="H91" s="16"/>
      <c r="I91" s="17"/>
      <c r="J91" s="16"/>
      <c r="K91" s="16"/>
      <c r="L91" s="17"/>
      <c r="M91" s="16"/>
      <c r="N91" s="16"/>
      <c r="O91" s="17"/>
      <c r="P91" s="16"/>
      <c r="Q91" s="16"/>
      <c r="R91" s="11">
        <f t="shared" si="1"/>
        <v>0</v>
      </c>
    </row>
    <row r="92" spans="2:18" ht="15.75" thickBot="1" x14ac:dyDescent="0.3">
      <c r="B92" s="13" t="s">
        <v>98</v>
      </c>
      <c r="C92" s="7">
        <v>0</v>
      </c>
      <c r="D92" s="7">
        <v>0</v>
      </c>
      <c r="E92" s="7"/>
      <c r="F92" s="14">
        <v>0</v>
      </c>
      <c r="G92" s="18"/>
      <c r="H92" s="18"/>
      <c r="I92" s="19"/>
      <c r="J92" s="18"/>
      <c r="K92" s="18"/>
      <c r="L92" s="19"/>
      <c r="M92" s="18"/>
      <c r="N92" s="18"/>
      <c r="O92" s="19"/>
      <c r="P92" s="18"/>
      <c r="Q92" s="18"/>
      <c r="R92" s="14">
        <f t="shared" si="1"/>
        <v>0</v>
      </c>
    </row>
    <row r="93" spans="2:18" ht="15.75" thickTop="1" x14ac:dyDescent="0.25">
      <c r="B93" s="6" t="s">
        <v>99</v>
      </c>
      <c r="C93" s="7">
        <v>13772224962</v>
      </c>
      <c r="D93" s="7">
        <v>498832438</v>
      </c>
      <c r="E93" s="7"/>
      <c r="F93" s="22">
        <f t="shared" ref="F93:Q93" si="2">+F13</f>
        <v>559848065.21000004</v>
      </c>
      <c r="G93" s="23">
        <f t="shared" si="2"/>
        <v>0</v>
      </c>
      <c r="H93" s="23">
        <f t="shared" si="2"/>
        <v>0</v>
      </c>
      <c r="I93" s="22">
        <f t="shared" si="2"/>
        <v>0</v>
      </c>
      <c r="J93" s="23">
        <f t="shared" si="2"/>
        <v>0</v>
      </c>
      <c r="K93" s="23">
        <f t="shared" si="2"/>
        <v>0</v>
      </c>
      <c r="L93" s="22">
        <f t="shared" si="2"/>
        <v>0</v>
      </c>
      <c r="M93" s="23">
        <f t="shared" si="2"/>
        <v>0</v>
      </c>
      <c r="N93" s="23">
        <f t="shared" si="2"/>
        <v>0</v>
      </c>
      <c r="O93" s="22">
        <f t="shared" si="2"/>
        <v>0</v>
      </c>
      <c r="P93" s="23">
        <f t="shared" si="2"/>
        <v>0</v>
      </c>
      <c r="Q93" s="23">
        <f t="shared" si="2"/>
        <v>0</v>
      </c>
      <c r="R93" s="22">
        <f t="shared" ref="R93" si="3">SUM(F93:Q93)</f>
        <v>559848065.21000004</v>
      </c>
    </row>
    <row r="95" spans="2:18" ht="15.75" thickBot="1" x14ac:dyDescent="0.3"/>
    <row r="96" spans="2:18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autoFilter ref="B12:R93" xr:uid="{6E48F5D1-4594-4A66-A94F-B5183B128B3E}"/>
  <mergeCells count="5">
    <mergeCell ref="B6:R6"/>
    <mergeCell ref="B7:R7"/>
    <mergeCell ref="B8:R8"/>
    <mergeCell ref="B9:R9"/>
    <mergeCell ref="B98:B99"/>
  </mergeCells>
  <printOptions verticalCentered="1"/>
  <pageMargins left="0.70866141732283472" right="0.70866141732283472" top="0.36" bottom="1.44" header="0.31496062992125984" footer="0.31496062992125984"/>
  <pageSetup scale="3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E1EC-98F3-4160-ACC8-5FC7D0020DB3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3.140625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2145078567.6500001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250715043.25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208503558.23000002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10641000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31570485.02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132111569.22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5557043.0700000003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33699499.43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4161417.5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11645378.4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11535341.969999999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6660415.1399999997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2485998.62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46995910.200000003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9370564.8900000006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89081665.11999999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7254493.6200000001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929250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42055.199999999997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75529794.279999986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2747684.98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2181832.7000000002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5000000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5000000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/>
      <c r="H49" s="17"/>
      <c r="I49" s="16"/>
      <c r="J49" s="16"/>
      <c r="K49" s="17"/>
      <c r="L49" s="16"/>
      <c r="M49" s="16"/>
      <c r="N49" s="17"/>
      <c r="O49" s="16"/>
      <c r="P49" s="16"/>
      <c r="Q49" s="11">
        <f t="shared" si="0"/>
        <v>300000000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8"/>
      <c r="H50" s="19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8"/>
      <c r="H51" s="19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8"/>
      <c r="H52" s="19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v>300000000</v>
      </c>
      <c r="G53" s="18"/>
      <c r="H53" s="19"/>
      <c r="I53" s="18"/>
      <c r="J53" s="18"/>
      <c r="K53" s="19"/>
      <c r="L53" s="18"/>
      <c r="M53" s="18"/>
      <c r="N53" s="19"/>
      <c r="O53" s="18"/>
      <c r="P53" s="18"/>
      <c r="Q53" s="14">
        <f t="shared" si="0"/>
        <v>300000000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8"/>
      <c r="H54" s="19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8"/>
      <c r="H55" s="19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8"/>
      <c r="H56" s="19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/>
      <c r="H57" s="17"/>
      <c r="I57" s="16"/>
      <c r="J57" s="16"/>
      <c r="K57" s="17"/>
      <c r="L57" s="16"/>
      <c r="M57" s="16"/>
      <c r="N57" s="17"/>
      <c r="O57" s="16"/>
      <c r="P57" s="16"/>
      <c r="Q57" s="11">
        <f t="shared" si="0"/>
        <v>498964472.57000005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v>347313.43</v>
      </c>
      <c r="G58" s="18"/>
      <c r="H58" s="19"/>
      <c r="I58" s="18"/>
      <c r="J58" s="18"/>
      <c r="K58" s="19"/>
      <c r="L58" s="18"/>
      <c r="M58" s="18"/>
      <c r="N58" s="19"/>
      <c r="O58" s="18"/>
      <c r="P58" s="18"/>
      <c r="Q58" s="14">
        <f t="shared" si="0"/>
        <v>18248975.600000001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v>505065.24</v>
      </c>
      <c r="G59" s="18"/>
      <c r="H59" s="19"/>
      <c r="I59" s="18"/>
      <c r="J59" s="18"/>
      <c r="K59" s="19"/>
      <c r="L59" s="18"/>
      <c r="M59" s="18"/>
      <c r="N59" s="19"/>
      <c r="O59" s="18"/>
      <c r="P59" s="18"/>
      <c r="Q59" s="14">
        <f t="shared" si="0"/>
        <v>636670.64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v>313342545.11000001</v>
      </c>
      <c r="G60" s="18"/>
      <c r="H60" s="19"/>
      <c r="I60" s="18"/>
      <c r="J60" s="18"/>
      <c r="K60" s="19"/>
      <c r="L60" s="18"/>
      <c r="M60" s="18"/>
      <c r="N60" s="19"/>
      <c r="O60" s="18"/>
      <c r="P60" s="18"/>
      <c r="Q60" s="14">
        <f t="shared" si="0"/>
        <v>397964658.63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v>0</v>
      </c>
      <c r="G61" s="18"/>
      <c r="H61" s="19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v>80897588.549999997</v>
      </c>
      <c r="G62" s="18"/>
      <c r="H62" s="19"/>
      <c r="I62" s="18"/>
      <c r="J62" s="18"/>
      <c r="K62" s="19"/>
      <c r="L62" s="18"/>
      <c r="M62" s="18"/>
      <c r="N62" s="19"/>
      <c r="O62" s="18"/>
      <c r="P62" s="18"/>
      <c r="Q62" s="14">
        <f t="shared" si="0"/>
        <v>81150764.629999995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v>0</v>
      </c>
      <c r="G63" s="18"/>
      <c r="H63" s="19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8"/>
      <c r="H64" s="19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v>0</v>
      </c>
      <c r="G65" s="18"/>
      <c r="H65" s="19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v>963403.07</v>
      </c>
      <c r="G66" s="18"/>
      <c r="H66" s="19"/>
      <c r="I66" s="18"/>
      <c r="J66" s="18"/>
      <c r="K66" s="19"/>
      <c r="L66" s="18"/>
      <c r="M66" s="18"/>
      <c r="N66" s="19"/>
      <c r="O66" s="18"/>
      <c r="P66" s="18"/>
      <c r="Q66" s="14">
        <f t="shared" si="0"/>
        <v>963403.07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/>
      <c r="H67" s="17"/>
      <c r="I67" s="16"/>
      <c r="J67" s="16"/>
      <c r="K67" s="17"/>
      <c r="L67" s="16"/>
      <c r="M67" s="16"/>
      <c r="N67" s="17"/>
      <c r="O67" s="16"/>
      <c r="P67" s="16"/>
      <c r="Q67" s="11">
        <f t="shared" si="0"/>
        <v>869205817.49000001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v>578304858.13999999</v>
      </c>
      <c r="G68" s="18"/>
      <c r="H68" s="19"/>
      <c r="I68" s="18"/>
      <c r="J68" s="18"/>
      <c r="K68" s="19"/>
      <c r="L68" s="18"/>
      <c r="M68" s="18"/>
      <c r="N68" s="19"/>
      <c r="O68" s="18"/>
      <c r="P68" s="18"/>
      <c r="Q68" s="14">
        <f t="shared" si="0"/>
        <v>869205817.49000001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v>0</v>
      </c>
      <c r="G69" s="18"/>
      <c r="H69" s="19"/>
      <c r="I69" s="18"/>
      <c r="J69" s="18"/>
      <c r="K69" s="19"/>
      <c r="L69" s="18"/>
      <c r="M69" s="18"/>
      <c r="N69" s="19"/>
      <c r="O69" s="18"/>
      <c r="P69" s="18"/>
      <c r="Q69" s="14">
        <f t="shared" si="0"/>
        <v>0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8"/>
      <c r="H70" s="19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8"/>
      <c r="H71" s="19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/>
      <c r="H72" s="17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8"/>
      <c r="H73" s="19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8"/>
      <c r="H74" s="19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8"/>
      <c r="H75" s="19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8"/>
      <c r="H76" s="19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8"/>
      <c r="H77" s="19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/>
      <c r="H78" s="17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8"/>
      <c r="H79" s="19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8"/>
      <c r="H80" s="19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8"/>
      <c r="H81" s="19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8"/>
      <c r="H82" s="19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8"/>
      <c r="H83" s="19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/>
      <c r="H84" s="20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/>
      <c r="H85" s="17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8"/>
      <c r="H86" s="19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8"/>
      <c r="H87" s="19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/>
      <c r="H88" s="17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8"/>
      <c r="H89" s="19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8"/>
      <c r="H90" s="19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/>
      <c r="H91" s="17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8"/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0</v>
      </c>
      <c r="H93" s="22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2145078567.6500001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scale="3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FDC2-6469-47E5-BB6B-4E8320B9A772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/>
      <c r="I13" s="8"/>
      <c r="J13" s="8"/>
      <c r="K13" s="8"/>
      <c r="L13" s="8"/>
      <c r="M13" s="8"/>
      <c r="N13" s="8"/>
      <c r="O13" s="8"/>
      <c r="P13" s="8"/>
      <c r="Q13" s="9">
        <f>+SUM(E13:P13)</f>
        <v>3385134244.2000003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/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384939665.74000001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f>VLOOKUP(B15,[2]RefCCPCuenta!$B$9:$G$46,5,FALSE)</f>
        <v>112996444.12</v>
      </c>
      <c r="H15" s="14"/>
      <c r="I15" s="14"/>
      <c r="J15" s="14"/>
      <c r="K15" s="14"/>
      <c r="L15" s="14"/>
      <c r="M15" s="14"/>
      <c r="N15" s="14"/>
      <c r="O15" s="14"/>
      <c r="P15" s="14"/>
      <c r="Q15" s="15">
        <f t="shared" si="0"/>
        <v>321500002.35000002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f>VLOOKUP(B16,[2]RefCCPCuenta!$B$9:$G$46,5,FALSE)</f>
        <v>5285500</v>
      </c>
      <c r="H16" s="14"/>
      <c r="I16" s="14"/>
      <c r="J16" s="14"/>
      <c r="K16" s="14"/>
      <c r="L16" s="14"/>
      <c r="M16" s="14"/>
      <c r="N16" s="14"/>
      <c r="O16" s="14"/>
      <c r="P16" s="14"/>
      <c r="Q16" s="15">
        <f t="shared" si="0"/>
        <v>15926500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f>VLOOKUP(B19,[2]RefCCPCuenta!$B$9:$G$46,5,FALSE)</f>
        <v>15942678.369999999</v>
      </c>
      <c r="H19" s="14"/>
      <c r="I19" s="14"/>
      <c r="J19" s="14"/>
      <c r="K19" s="14"/>
      <c r="L19" s="14"/>
      <c r="M19" s="14"/>
      <c r="N19" s="14"/>
      <c r="O19" s="14"/>
      <c r="P19" s="14"/>
      <c r="Q19" s="15">
        <f t="shared" si="0"/>
        <v>47513163.390000001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/>
      <c r="I20" s="11"/>
      <c r="J20" s="11"/>
      <c r="K20" s="11"/>
      <c r="L20" s="11"/>
      <c r="M20" s="11"/>
      <c r="N20" s="11"/>
      <c r="O20" s="11"/>
      <c r="P20" s="11"/>
      <c r="Q20" s="12">
        <f t="shared" si="0"/>
        <v>190537618.46000001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f>VLOOKUP(B21,[2]RefCCPCuenta!$B$9:$G$46,5,FALSE)</f>
        <v>3256830.57</v>
      </c>
      <c r="H21" s="14"/>
      <c r="I21" s="14"/>
      <c r="J21" s="14"/>
      <c r="K21" s="14"/>
      <c r="L21" s="14"/>
      <c r="M21" s="14"/>
      <c r="N21" s="14"/>
      <c r="O21" s="14"/>
      <c r="P21" s="14"/>
      <c r="Q21" s="15">
        <f t="shared" si="0"/>
        <v>8813873.6400000006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f>VLOOKUP(B22,[2]RefCCPCuenta!$B$9:$G$46,5,FALSE)</f>
        <v>14964572.1</v>
      </c>
      <c r="H22" s="14"/>
      <c r="I22" s="14"/>
      <c r="J22" s="14"/>
      <c r="K22" s="14"/>
      <c r="L22" s="14"/>
      <c r="M22" s="14"/>
      <c r="N22" s="14"/>
      <c r="O22" s="14"/>
      <c r="P22" s="14"/>
      <c r="Q22" s="15">
        <f t="shared" si="0"/>
        <v>48664071.530000001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f>VLOOKUP(B23,[2]RefCCPCuenta!$B$9:$G$46,5,FALSE)</f>
        <v>2691367</v>
      </c>
      <c r="H23" s="14"/>
      <c r="I23" s="14"/>
      <c r="J23" s="14"/>
      <c r="K23" s="14"/>
      <c r="L23" s="14"/>
      <c r="M23" s="14"/>
      <c r="N23" s="14"/>
      <c r="O23" s="14"/>
      <c r="P23" s="14"/>
      <c r="Q23" s="15">
        <f t="shared" si="0"/>
        <v>6852784.5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f>VLOOKUP(B24,[2]RefCCPCuenta!$B$9:$G$46,5,FALSE)</f>
        <v>4421000</v>
      </c>
      <c r="H24" s="14"/>
      <c r="I24" s="14"/>
      <c r="J24" s="14"/>
      <c r="K24" s="14"/>
      <c r="L24" s="14"/>
      <c r="M24" s="14"/>
      <c r="N24" s="14"/>
      <c r="O24" s="14"/>
      <c r="P24" s="14"/>
      <c r="Q24" s="15">
        <f t="shared" si="0"/>
        <v>16066378.4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f>VLOOKUP(B25,[2]RefCCPCuenta!$B$9:$G$46,5,FALSE)</f>
        <v>4491072.33</v>
      </c>
      <c r="H25" s="14"/>
      <c r="I25" s="14"/>
      <c r="J25" s="14"/>
      <c r="K25" s="14"/>
      <c r="L25" s="14"/>
      <c r="M25" s="14"/>
      <c r="N25" s="14"/>
      <c r="O25" s="14"/>
      <c r="P25" s="14"/>
      <c r="Q25" s="15">
        <f t="shared" si="0"/>
        <v>16026414.299999999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f>VLOOKUP(B26,[2]RefCCPCuenta!$B$9:$G$46,5,FALSE)</f>
        <v>14361456.9</v>
      </c>
      <c r="H26" s="14"/>
      <c r="I26" s="14"/>
      <c r="J26" s="14"/>
      <c r="K26" s="14"/>
      <c r="L26" s="14"/>
      <c r="M26" s="14"/>
      <c r="N26" s="14"/>
      <c r="O26" s="14"/>
      <c r="P26" s="14"/>
      <c r="Q26" s="15">
        <f t="shared" si="0"/>
        <v>21021872.039999999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f>VLOOKUP(B27,[2]RefCCPCuenta!$B$9:$G$46,5,FALSE)</f>
        <v>2486537.85</v>
      </c>
      <c r="H27" s="14"/>
      <c r="I27" s="14"/>
      <c r="J27" s="14"/>
      <c r="K27" s="14"/>
      <c r="L27" s="14"/>
      <c r="M27" s="14"/>
      <c r="N27" s="14"/>
      <c r="O27" s="14"/>
      <c r="P27" s="14"/>
      <c r="Q27" s="15">
        <f t="shared" si="0"/>
        <v>4972536.4700000007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f>VLOOKUP(B28,[2]RefCCPCuenta!$B$9:$G$46,5,FALSE)</f>
        <v>10170603.68</v>
      </c>
      <c r="H28" s="14"/>
      <c r="I28" s="14"/>
      <c r="J28" s="14"/>
      <c r="K28" s="14"/>
      <c r="L28" s="14"/>
      <c r="M28" s="14"/>
      <c r="N28" s="14"/>
      <c r="O28" s="14"/>
      <c r="P28" s="14"/>
      <c r="Q28" s="15">
        <f t="shared" si="0"/>
        <v>57166513.880000003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f>VLOOKUP(B29,[2]RefCCPCuenta!$B$9:$G$46,5,FALSE)</f>
        <v>1582608.81</v>
      </c>
      <c r="H29" s="14"/>
      <c r="I29" s="14"/>
      <c r="J29" s="14"/>
      <c r="K29" s="14"/>
      <c r="L29" s="14"/>
      <c r="M29" s="14"/>
      <c r="N29" s="14"/>
      <c r="O29" s="14"/>
      <c r="P29" s="14"/>
      <c r="Q29" s="15">
        <f t="shared" si="0"/>
        <v>10953173.700000001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/>
      <c r="I30" s="11"/>
      <c r="J30" s="11"/>
      <c r="K30" s="11"/>
      <c r="L30" s="11"/>
      <c r="M30" s="11"/>
      <c r="N30" s="11"/>
      <c r="O30" s="11"/>
      <c r="P30" s="11"/>
      <c r="Q30" s="12">
        <f t="shared" si="0"/>
        <v>166240375.88999999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/>
      <c r="I31" s="14"/>
      <c r="J31" s="14"/>
      <c r="K31" s="14"/>
      <c r="L31" s="14"/>
      <c r="M31" s="14"/>
      <c r="N31" s="14"/>
      <c r="O31" s="14"/>
      <c r="P31" s="14"/>
      <c r="Q31" s="15">
        <f t="shared" si="0"/>
        <v>43618174.579999998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/>
      <c r="I32" s="14"/>
      <c r="J32" s="14"/>
      <c r="K32" s="14"/>
      <c r="L32" s="14"/>
      <c r="M32" s="14"/>
      <c r="N32" s="14"/>
      <c r="O32" s="14"/>
      <c r="P32" s="14"/>
      <c r="Q32" s="15">
        <f t="shared" si="0"/>
        <v>1208320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5">
        <f t="shared" si="0"/>
        <v>396554.34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/>
      <c r="I35" s="14"/>
      <c r="J35" s="14"/>
      <c r="K35" s="14"/>
      <c r="L35" s="14"/>
      <c r="M35" s="14"/>
      <c r="N35" s="14"/>
      <c r="O35" s="14"/>
      <c r="P35" s="14"/>
      <c r="Q35" s="15">
        <f t="shared" si="0"/>
        <v>372455.2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/>
      <c r="I36" s="14"/>
      <c r="J36" s="14"/>
      <c r="K36" s="14"/>
      <c r="L36" s="14"/>
      <c r="M36" s="14"/>
      <c r="N36" s="14"/>
      <c r="O36" s="14"/>
      <c r="P36" s="14"/>
      <c r="Q36" s="15">
        <f t="shared" si="0"/>
        <v>102905725.11999999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/>
      <c r="I37" s="14"/>
      <c r="J37" s="14"/>
      <c r="K37" s="14"/>
      <c r="L37" s="14"/>
      <c r="M37" s="14"/>
      <c r="N37" s="14"/>
      <c r="O37" s="14"/>
      <c r="P37" s="14"/>
      <c r="Q37" s="15">
        <f t="shared" si="0"/>
        <v>5367104.7699999996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/>
      <c r="I39" s="14"/>
      <c r="J39" s="14"/>
      <c r="K39" s="14"/>
      <c r="L39" s="14"/>
      <c r="M39" s="14"/>
      <c r="N39" s="14"/>
      <c r="O39" s="14"/>
      <c r="P39" s="14"/>
      <c r="Q39" s="15">
        <f t="shared" si="0"/>
        <v>12372041.879999999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/>
      <c r="I40" s="11"/>
      <c r="J40" s="11"/>
      <c r="K40" s="11"/>
      <c r="L40" s="11"/>
      <c r="M40" s="11"/>
      <c r="N40" s="11"/>
      <c r="O40" s="11"/>
      <c r="P40" s="11"/>
      <c r="Q40" s="12">
        <f t="shared" si="0"/>
        <v>10500000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/>
      <c r="I41" s="14"/>
      <c r="J41" s="14"/>
      <c r="K41" s="14"/>
      <c r="L41" s="14"/>
      <c r="M41" s="14"/>
      <c r="N41" s="14"/>
      <c r="O41" s="14"/>
      <c r="P41" s="14"/>
      <c r="Q41" s="15">
        <f t="shared" si="0"/>
        <v>10500000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/>
      <c r="I49" s="16"/>
      <c r="J49" s="16"/>
      <c r="K49" s="17"/>
      <c r="L49" s="16"/>
      <c r="M49" s="16"/>
      <c r="N49" s="17"/>
      <c r="O49" s="16"/>
      <c r="P49" s="16"/>
      <c r="Q49" s="11">
        <f t="shared" si="0"/>
        <v>853513392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/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/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/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f>VLOOKUP(B53,[3]RefCCPCuenta!$B$9:$F$46,5,FALSE)</f>
        <v>553513392</v>
      </c>
      <c r="H53" s="14"/>
      <c r="I53" s="18"/>
      <c r="J53" s="18"/>
      <c r="K53" s="19"/>
      <c r="L53" s="18"/>
      <c r="M53" s="18"/>
      <c r="N53" s="19"/>
      <c r="O53" s="18"/>
      <c r="P53" s="18"/>
      <c r="Q53" s="14">
        <f t="shared" si="0"/>
        <v>853513392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/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/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/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/>
      <c r="I57" s="16"/>
      <c r="J57" s="16"/>
      <c r="K57" s="17"/>
      <c r="L57" s="16"/>
      <c r="M57" s="16"/>
      <c r="N57" s="17"/>
      <c r="O57" s="16"/>
      <c r="P57" s="16"/>
      <c r="Q57" s="11">
        <f t="shared" si="0"/>
        <v>541920666.53000009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f>VLOOKUP(B58,[3]RefCCPCuenta!$B$9:$F$46,5,FALSE)</f>
        <v>40726931.920000002</v>
      </c>
      <c r="H58" s="14"/>
      <c r="I58" s="18"/>
      <c r="J58" s="18"/>
      <c r="K58" s="19"/>
      <c r="L58" s="18"/>
      <c r="M58" s="18"/>
      <c r="N58" s="19"/>
      <c r="O58" s="18"/>
      <c r="P58" s="18"/>
      <c r="Q58" s="14">
        <f t="shared" si="0"/>
        <v>58975907.520000003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f>VLOOKUP(B59,[3]RefCCPCuenta!$B$9:$F$46,5,FALSE)</f>
        <v>0</v>
      </c>
      <c r="H59" s="14"/>
      <c r="I59" s="18"/>
      <c r="J59" s="18"/>
      <c r="K59" s="19"/>
      <c r="L59" s="18"/>
      <c r="M59" s="18"/>
      <c r="N59" s="19"/>
      <c r="O59" s="18"/>
      <c r="P59" s="18"/>
      <c r="Q59" s="14">
        <f t="shared" si="0"/>
        <v>636670.64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f>VLOOKUP(B60,[3]RefCCPCuenta!$B$9:$F$46,5,FALSE)</f>
        <v>0</v>
      </c>
      <c r="H60" s="14"/>
      <c r="I60" s="18"/>
      <c r="J60" s="18"/>
      <c r="K60" s="19"/>
      <c r="L60" s="18"/>
      <c r="M60" s="18"/>
      <c r="N60" s="19"/>
      <c r="O60" s="18"/>
      <c r="P60" s="18"/>
      <c r="Q60" s="14">
        <f t="shared" si="0"/>
        <v>397964658.63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f>VLOOKUP(B61,[3]RefCCPCuenta!$B$9:$F$46,5,FALSE)</f>
        <v>0</v>
      </c>
      <c r="H61" s="14"/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f>VLOOKUP(B62,[3]RefCCPCuenta!$B$9:$F$46,5,FALSE)</f>
        <v>2229262.04</v>
      </c>
      <c r="H62" s="14"/>
      <c r="I62" s="18"/>
      <c r="J62" s="18"/>
      <c r="K62" s="19"/>
      <c r="L62" s="18"/>
      <c r="M62" s="18"/>
      <c r="N62" s="19"/>
      <c r="O62" s="18"/>
      <c r="P62" s="18"/>
      <c r="Q62" s="14">
        <f t="shared" si="0"/>
        <v>83380026.670000002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f>VLOOKUP(B63,[3]RefCCPCuenta!$B$9:$F$46,5,FALSE)</f>
        <v>0</v>
      </c>
      <c r="H63" s="14"/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/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f>VLOOKUP(B65,[3]RefCCPCuenta!$B$9:$F$46,5,FALSE)</f>
        <v>0</v>
      </c>
      <c r="H65" s="14"/>
      <c r="I65" s="18"/>
      <c r="J65" s="18"/>
      <c r="K65" s="19"/>
      <c r="L65" s="18"/>
      <c r="M65" s="18"/>
      <c r="N65" s="19"/>
      <c r="O65" s="18"/>
      <c r="P65" s="18"/>
      <c r="Q65" s="14">
        <f t="shared" si="0"/>
        <v>0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f>VLOOKUP(B66,[3]RefCCPCuenta!$B$9:$F$46,5,FALSE)</f>
        <v>0</v>
      </c>
      <c r="H66" s="14"/>
      <c r="I66" s="18"/>
      <c r="J66" s="18"/>
      <c r="K66" s="19"/>
      <c r="L66" s="18"/>
      <c r="M66" s="18"/>
      <c r="N66" s="19"/>
      <c r="O66" s="18"/>
      <c r="P66" s="18"/>
      <c r="Q66" s="14">
        <f t="shared" si="0"/>
        <v>963403.07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/>
      <c r="I67" s="16"/>
      <c r="J67" s="16"/>
      <c r="K67" s="17"/>
      <c r="L67" s="16"/>
      <c r="M67" s="16"/>
      <c r="N67" s="17"/>
      <c r="O67" s="16"/>
      <c r="P67" s="16"/>
      <c r="Q67" s="11">
        <f t="shared" si="0"/>
        <v>1237482525.5799999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f>VLOOKUP(B68,[3]RefCCPCuenta!$B$9:$F$46,5,FALSE)</f>
        <v>193313225.71000001</v>
      </c>
      <c r="H68" s="14"/>
      <c r="I68" s="18"/>
      <c r="J68" s="18"/>
      <c r="K68" s="19"/>
      <c r="L68" s="18"/>
      <c r="M68" s="18"/>
      <c r="N68" s="19"/>
      <c r="O68" s="18"/>
      <c r="P68" s="18"/>
      <c r="Q68" s="14">
        <f t="shared" si="0"/>
        <v>1062519043.2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f>VLOOKUP(B69,[3]RefCCPCuenta!$B$9:$F$46,5,FALSE)</f>
        <v>174963482.38</v>
      </c>
      <c r="H69" s="14"/>
      <c r="I69" s="18"/>
      <c r="J69" s="18"/>
      <c r="K69" s="19"/>
      <c r="L69" s="18"/>
      <c r="M69" s="18"/>
      <c r="N69" s="19"/>
      <c r="O69" s="18"/>
      <c r="P69" s="18"/>
      <c r="Q69" s="14">
        <f t="shared" si="0"/>
        <v>174963482.38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/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/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/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/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/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/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/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/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/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/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/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/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/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/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/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/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/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/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/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/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/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/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9"/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0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3385134244.2000003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35A6-92D4-462B-9B3D-E88E4B4A52DE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>
        <f>+H14+H20+H30+H40+H49+H57+H67+H72+H78+H85+H88+H91</f>
        <v>1977896955.3099999</v>
      </c>
      <c r="I13" s="8"/>
      <c r="J13" s="8"/>
      <c r="K13" s="8"/>
      <c r="L13" s="8"/>
      <c r="M13" s="8"/>
      <c r="N13" s="8"/>
      <c r="O13" s="8"/>
      <c r="P13" s="8"/>
      <c r="Q13" s="9">
        <f>+SUM(E13:P13)</f>
        <v>5363031199.5100002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>
        <f>+SUM(H15:H19)</f>
        <v>130387627.15000001</v>
      </c>
      <c r="I14" s="11"/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515327292.88999999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/>
      <c r="J15" s="14"/>
      <c r="K15" s="14"/>
      <c r="L15" s="14"/>
      <c r="M15" s="14"/>
      <c r="N15" s="14"/>
      <c r="O15" s="14"/>
      <c r="P15" s="14"/>
      <c r="Q15" s="15">
        <f t="shared" si="0"/>
        <v>430529152.75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/>
      <c r="J16" s="14"/>
      <c r="K16" s="14"/>
      <c r="L16" s="14"/>
      <c r="M16" s="14"/>
      <c r="N16" s="14"/>
      <c r="O16" s="14"/>
      <c r="P16" s="14"/>
      <c r="Q16" s="15">
        <f t="shared" si="0"/>
        <v>21196500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/>
      <c r="J19" s="14"/>
      <c r="K19" s="14"/>
      <c r="L19" s="14"/>
      <c r="M19" s="14"/>
      <c r="N19" s="14"/>
      <c r="O19" s="14"/>
      <c r="P19" s="14"/>
      <c r="Q19" s="15">
        <f t="shared" si="0"/>
        <v>63601640.140000001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>
        <f>+SUM(H21:H29)</f>
        <v>113963789.41</v>
      </c>
      <c r="I20" s="11"/>
      <c r="J20" s="11"/>
      <c r="K20" s="11"/>
      <c r="L20" s="11"/>
      <c r="M20" s="11"/>
      <c r="N20" s="11"/>
      <c r="O20" s="11"/>
      <c r="P20" s="11"/>
      <c r="Q20" s="12">
        <f t="shared" si="0"/>
        <v>304501407.87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/>
      <c r="J21" s="14"/>
      <c r="K21" s="14"/>
      <c r="L21" s="14"/>
      <c r="M21" s="14"/>
      <c r="N21" s="14"/>
      <c r="O21" s="14"/>
      <c r="P21" s="14"/>
      <c r="Q21" s="15">
        <f t="shared" si="0"/>
        <v>10794708.690000001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40540760</v>
      </c>
      <c r="I22" s="14"/>
      <c r="J22" s="14"/>
      <c r="K22" s="14"/>
      <c r="L22" s="14"/>
      <c r="M22" s="14"/>
      <c r="N22" s="14"/>
      <c r="O22" s="14"/>
      <c r="P22" s="14"/>
      <c r="Q22" s="15">
        <f t="shared" si="0"/>
        <v>89204831.530000001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/>
      <c r="J23" s="14"/>
      <c r="K23" s="14"/>
      <c r="L23" s="14"/>
      <c r="M23" s="14"/>
      <c r="N23" s="14"/>
      <c r="O23" s="14"/>
      <c r="P23" s="14"/>
      <c r="Q23" s="15">
        <f t="shared" si="0"/>
        <v>9575346.5999999996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/>
      <c r="J24" s="14"/>
      <c r="K24" s="14"/>
      <c r="L24" s="14"/>
      <c r="M24" s="14"/>
      <c r="N24" s="14"/>
      <c r="O24" s="14"/>
      <c r="P24" s="14"/>
      <c r="Q24" s="15">
        <f t="shared" si="0"/>
        <v>18942698.399999999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/>
      <c r="J25" s="14"/>
      <c r="K25" s="14"/>
      <c r="L25" s="14"/>
      <c r="M25" s="14"/>
      <c r="N25" s="14"/>
      <c r="O25" s="14"/>
      <c r="P25" s="14"/>
      <c r="Q25" s="15">
        <f t="shared" si="0"/>
        <v>22546307.27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/>
      <c r="J26" s="14"/>
      <c r="K26" s="14"/>
      <c r="L26" s="14"/>
      <c r="M26" s="14"/>
      <c r="N26" s="14"/>
      <c r="O26" s="14"/>
      <c r="P26" s="14"/>
      <c r="Q26" s="15">
        <f t="shared" si="0"/>
        <v>38277751.039999999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/>
      <c r="J27" s="14"/>
      <c r="K27" s="14"/>
      <c r="L27" s="14"/>
      <c r="M27" s="14"/>
      <c r="N27" s="14"/>
      <c r="O27" s="14"/>
      <c r="P27" s="14"/>
      <c r="Q27" s="15">
        <f t="shared" si="0"/>
        <v>5986288.8400000008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10170603.68</v>
      </c>
      <c r="H28" s="14">
        <v>34557216.039999999</v>
      </c>
      <c r="I28" s="14"/>
      <c r="J28" s="14"/>
      <c r="K28" s="14"/>
      <c r="L28" s="14"/>
      <c r="M28" s="14"/>
      <c r="N28" s="14"/>
      <c r="O28" s="14"/>
      <c r="P28" s="14"/>
      <c r="Q28" s="15">
        <f t="shared" si="0"/>
        <v>91723729.920000002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/>
      <c r="J29" s="14"/>
      <c r="K29" s="14"/>
      <c r="L29" s="14"/>
      <c r="M29" s="14"/>
      <c r="N29" s="14"/>
      <c r="O29" s="14"/>
      <c r="P29" s="14"/>
      <c r="Q29" s="15">
        <f t="shared" si="0"/>
        <v>17449745.580000002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>
        <f>+SUM(H31:H39)</f>
        <v>44307623.410000004</v>
      </c>
      <c r="I30" s="11"/>
      <c r="J30" s="11"/>
      <c r="K30" s="11"/>
      <c r="L30" s="11"/>
      <c r="M30" s="11"/>
      <c r="N30" s="11"/>
      <c r="O30" s="11"/>
      <c r="P30" s="11"/>
      <c r="Q30" s="12">
        <f t="shared" si="0"/>
        <v>210547999.29999998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14"/>
      <c r="J31" s="14"/>
      <c r="K31" s="14"/>
      <c r="L31" s="14"/>
      <c r="M31" s="14"/>
      <c r="N31" s="14"/>
      <c r="O31" s="14"/>
      <c r="P31" s="14"/>
      <c r="Q31" s="15">
        <f t="shared" si="0"/>
        <v>55675172.129999995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/>
      <c r="J32" s="14"/>
      <c r="K32" s="14"/>
      <c r="L32" s="14"/>
      <c r="M32" s="14"/>
      <c r="N32" s="14"/>
      <c r="O32" s="14"/>
      <c r="P32" s="14"/>
      <c r="Q32" s="15">
        <f t="shared" si="0"/>
        <v>1321790.28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/>
      <c r="J33" s="14"/>
      <c r="K33" s="14"/>
      <c r="L33" s="14"/>
      <c r="M33" s="14"/>
      <c r="N33" s="14"/>
      <c r="O33" s="14"/>
      <c r="P33" s="14"/>
      <c r="Q33" s="15">
        <f t="shared" si="0"/>
        <v>1131210.54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/>
      <c r="J34" s="14"/>
      <c r="K34" s="14"/>
      <c r="L34" s="14"/>
      <c r="M34" s="14"/>
      <c r="N34" s="14"/>
      <c r="O34" s="14"/>
      <c r="P34" s="14"/>
      <c r="Q34" s="15">
        <f t="shared" si="0"/>
        <v>0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/>
      <c r="J35" s="14"/>
      <c r="K35" s="14"/>
      <c r="L35" s="14"/>
      <c r="M35" s="14"/>
      <c r="N35" s="14"/>
      <c r="O35" s="14"/>
      <c r="P35" s="14"/>
      <c r="Q35" s="15">
        <f t="shared" si="0"/>
        <v>840008.11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/>
      <c r="J36" s="14"/>
      <c r="K36" s="14"/>
      <c r="L36" s="14"/>
      <c r="M36" s="14"/>
      <c r="N36" s="14"/>
      <c r="O36" s="14"/>
      <c r="P36" s="14"/>
      <c r="Q36" s="15">
        <f t="shared" si="0"/>
        <v>131990789.66999999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/>
      <c r="J37" s="14"/>
      <c r="K37" s="14"/>
      <c r="L37" s="14"/>
      <c r="M37" s="14"/>
      <c r="N37" s="14"/>
      <c r="O37" s="14"/>
      <c r="P37" s="14"/>
      <c r="Q37" s="15">
        <f t="shared" si="0"/>
        <v>6923248.0499999998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/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/>
      <c r="J39" s="14"/>
      <c r="K39" s="14"/>
      <c r="L39" s="14"/>
      <c r="M39" s="14"/>
      <c r="N39" s="14"/>
      <c r="O39" s="14"/>
      <c r="P39" s="14"/>
      <c r="Q39" s="15">
        <f t="shared" si="0"/>
        <v>12665780.52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>
        <f>+SUM(H41:H48)</f>
        <v>0</v>
      </c>
      <c r="I40" s="11"/>
      <c r="J40" s="11"/>
      <c r="K40" s="11"/>
      <c r="L40" s="11"/>
      <c r="M40" s="11"/>
      <c r="N40" s="11"/>
      <c r="O40" s="11"/>
      <c r="P40" s="11"/>
      <c r="Q40" s="12">
        <f t="shared" si="0"/>
        <v>10500000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/>
      <c r="J41" s="14"/>
      <c r="K41" s="14"/>
      <c r="L41" s="14"/>
      <c r="M41" s="14"/>
      <c r="N41" s="14"/>
      <c r="O41" s="14"/>
      <c r="P41" s="14"/>
      <c r="Q41" s="15">
        <f t="shared" si="0"/>
        <v>10500000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/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/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/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/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/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/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/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>
        <f>+SUM(H50:H56)</f>
        <v>268916083</v>
      </c>
      <c r="I49" s="16"/>
      <c r="J49" s="16"/>
      <c r="K49" s="17"/>
      <c r="L49" s="16"/>
      <c r="M49" s="16"/>
      <c r="N49" s="17"/>
      <c r="O49" s="16"/>
      <c r="P49" s="16"/>
      <c r="Q49" s="11">
        <f t="shared" si="0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8"/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8"/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8"/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8"/>
      <c r="J53" s="18"/>
      <c r="K53" s="19"/>
      <c r="L53" s="18"/>
      <c r="M53" s="18"/>
      <c r="N53" s="19"/>
      <c r="O53" s="18"/>
      <c r="P53" s="18"/>
      <c r="Q53" s="14">
        <f t="shared" si="0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8"/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8"/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8"/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>
        <f>+SUM(H58:H66)</f>
        <v>173164301.91999999</v>
      </c>
      <c r="I57" s="16"/>
      <c r="J57" s="16"/>
      <c r="K57" s="17"/>
      <c r="L57" s="16"/>
      <c r="M57" s="16"/>
      <c r="N57" s="17"/>
      <c r="O57" s="16"/>
      <c r="P57" s="16"/>
      <c r="Q57" s="11">
        <f t="shared" si="0"/>
        <v>715084968.45000005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/>
      <c r="J58" s="18"/>
      <c r="K58" s="19"/>
      <c r="L58" s="18"/>
      <c r="M58" s="18"/>
      <c r="N58" s="19"/>
      <c r="O58" s="18"/>
      <c r="P58" s="18"/>
      <c r="Q58" s="14">
        <f t="shared" si="0"/>
        <v>78987798.650000006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8"/>
      <c r="J59" s="18"/>
      <c r="K59" s="19"/>
      <c r="L59" s="18"/>
      <c r="M59" s="18"/>
      <c r="N59" s="19"/>
      <c r="O59" s="18"/>
      <c r="P59" s="18"/>
      <c r="Q59" s="14">
        <f t="shared" si="0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/>
      <c r="J60" s="18"/>
      <c r="K60" s="19"/>
      <c r="L60" s="18"/>
      <c r="M60" s="18"/>
      <c r="N60" s="19"/>
      <c r="O60" s="18"/>
      <c r="P60" s="18"/>
      <c r="Q60" s="14">
        <f t="shared" si="0"/>
        <v>505342181.19999999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/>
      <c r="J62" s="18"/>
      <c r="K62" s="19"/>
      <c r="L62" s="18"/>
      <c r="M62" s="18"/>
      <c r="N62" s="19"/>
      <c r="O62" s="18"/>
      <c r="P62" s="18"/>
      <c r="Q62" s="14">
        <f t="shared" si="0"/>
        <v>121930764.91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8"/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8"/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8"/>
      <c r="J65" s="18"/>
      <c r="K65" s="19"/>
      <c r="L65" s="18"/>
      <c r="M65" s="18"/>
      <c r="N65" s="19"/>
      <c r="O65" s="18"/>
      <c r="P65" s="18"/>
      <c r="Q65" s="14">
        <f t="shared" si="0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8"/>
      <c r="J66" s="18"/>
      <c r="K66" s="19"/>
      <c r="L66" s="18"/>
      <c r="M66" s="18"/>
      <c r="N66" s="19"/>
      <c r="O66" s="18"/>
      <c r="P66" s="18"/>
      <c r="Q66" s="14">
        <f t="shared" si="0"/>
        <v>6127520.0700000003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>
        <f>+SUM(H68:H71)</f>
        <v>1247157530.4200001</v>
      </c>
      <c r="I67" s="16"/>
      <c r="J67" s="16"/>
      <c r="K67" s="17"/>
      <c r="L67" s="16"/>
      <c r="M67" s="16"/>
      <c r="N67" s="17"/>
      <c r="O67" s="16"/>
      <c r="P67" s="16"/>
      <c r="Q67" s="11">
        <f t="shared" si="0"/>
        <v>2484640056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/>
      <c r="J68" s="18"/>
      <c r="K68" s="19"/>
      <c r="L68" s="18"/>
      <c r="M68" s="18"/>
      <c r="N68" s="19"/>
      <c r="O68" s="18"/>
      <c r="P68" s="18"/>
      <c r="Q68" s="14">
        <f t="shared" si="0"/>
        <v>2257276795.2399998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/>
      <c r="J69" s="18"/>
      <c r="K69" s="19"/>
      <c r="L69" s="18"/>
      <c r="M69" s="18"/>
      <c r="N69" s="19"/>
      <c r="O69" s="18"/>
      <c r="P69" s="18"/>
      <c r="Q69" s="14">
        <f t="shared" si="0"/>
        <v>227363260.75999999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8"/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8"/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8"/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8"/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8"/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8"/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8"/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8"/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8"/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8"/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8"/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8"/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8"/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8"/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8"/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8"/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1977896955.3099999</v>
      </c>
      <c r="I93" s="23">
        <f t="shared" si="2"/>
        <v>0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5363031199.5100002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9F73-5923-4428-B939-B95E78307573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>+E14+E20+E30+E40+E49+E57+E67+E72+E78+E85+E88+E91</f>
        <v>559848065.21000004</v>
      </c>
      <c r="F13" s="8">
        <f>+F14+F20+F30+F40+F49+F57+F67+F72+F78+F85+F88+F91</f>
        <v>1585230502.4400001</v>
      </c>
      <c r="G13" s="8">
        <f>+G14+G20+G30+G40+G49+G57+G67+G72+G78+G85+G88+G91</f>
        <v>1240055676.5500002</v>
      </c>
      <c r="H13" s="8">
        <f>+H14+H20+H30+H40+H49+H57+H67+H72+H78+H85+H88+H91</f>
        <v>1977896955.3099999</v>
      </c>
      <c r="I13" s="8">
        <f>+I14+I20+I30+I40+I49+I57+I67+I72+I78+I85+I88+I91</f>
        <v>2079618224.8200002</v>
      </c>
      <c r="J13" s="8"/>
      <c r="K13" s="8"/>
      <c r="L13" s="8"/>
      <c r="M13" s="8"/>
      <c r="N13" s="8"/>
      <c r="O13" s="8"/>
      <c r="P13" s="8"/>
      <c r="Q13" s="9">
        <f>+SUM(E13:P13)</f>
        <v>7442649424.3299999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>+SUM(E15:E19)</f>
        <v>122453982.7</v>
      </c>
      <c r="F14" s="11">
        <f>+SUM(F15:F19)</f>
        <v>128261060.55000001</v>
      </c>
      <c r="G14" s="11">
        <f>+SUM(G15:G19)</f>
        <v>134224622.49000001</v>
      </c>
      <c r="H14" s="11">
        <f>+SUM(H15:H19)</f>
        <v>130387627.15000001</v>
      </c>
      <c r="I14" s="11">
        <f>+SUM(I15:I19)</f>
        <v>214756450.99000001</v>
      </c>
      <c r="J14" s="11"/>
      <c r="K14" s="11"/>
      <c r="L14" s="11"/>
      <c r="M14" s="11"/>
      <c r="N14" s="11"/>
      <c r="O14" s="11"/>
      <c r="P14" s="11"/>
      <c r="Q14" s="12">
        <f t="shared" ref="Q14:Q77" si="0">+SUM(E14:P14)</f>
        <v>730083743.88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/>
      <c r="K15" s="14"/>
      <c r="L15" s="14"/>
      <c r="M15" s="14"/>
      <c r="N15" s="14"/>
      <c r="O15" s="14"/>
      <c r="P15" s="14"/>
      <c r="Q15" s="15">
        <f t="shared" si="0"/>
        <v>537868274.84000003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/>
      <c r="K16" s="14"/>
      <c r="L16" s="14"/>
      <c r="M16" s="14"/>
      <c r="N16" s="14"/>
      <c r="O16" s="14"/>
      <c r="P16" s="14"/>
      <c r="Q16" s="15">
        <f t="shared" si="0"/>
        <v>112398088.28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0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0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/>
      <c r="K19" s="14"/>
      <c r="L19" s="14"/>
      <c r="M19" s="14"/>
      <c r="N19" s="14"/>
      <c r="O19" s="14"/>
      <c r="P19" s="14"/>
      <c r="Q19" s="15">
        <f t="shared" si="0"/>
        <v>79817380.760000005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>+SUM(E21:E29)</f>
        <v>40556595.619999997</v>
      </c>
      <c r="F20" s="11">
        <f>+SUM(F21:F29)</f>
        <v>91554973.600000009</v>
      </c>
      <c r="G20" s="11">
        <f>+SUM(G21:G29)</f>
        <v>58426049.240000002</v>
      </c>
      <c r="H20" s="11">
        <f>+SUM(H21:H29)</f>
        <v>113963789.41</v>
      </c>
      <c r="I20" s="11">
        <f>+SUM(I21:I29)</f>
        <v>86621688.590000004</v>
      </c>
      <c r="J20" s="11"/>
      <c r="K20" s="11"/>
      <c r="L20" s="11"/>
      <c r="M20" s="11"/>
      <c r="N20" s="11"/>
      <c r="O20" s="11"/>
      <c r="P20" s="11"/>
      <c r="Q20" s="12">
        <f t="shared" si="0"/>
        <v>391123096.46000004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/>
      <c r="K21" s="14"/>
      <c r="L21" s="14"/>
      <c r="M21" s="14"/>
      <c r="N21" s="14"/>
      <c r="O21" s="14"/>
      <c r="P21" s="14"/>
      <c r="Q21" s="15">
        <f t="shared" si="0"/>
        <v>15126345.580000002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40540760</v>
      </c>
      <c r="I22" s="14">
        <v>16178980</v>
      </c>
      <c r="J22" s="14"/>
      <c r="K22" s="14"/>
      <c r="L22" s="14"/>
      <c r="M22" s="14"/>
      <c r="N22" s="14"/>
      <c r="O22" s="14"/>
      <c r="P22" s="14"/>
      <c r="Q22" s="15">
        <f t="shared" si="0"/>
        <v>105383811.53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4239732.5199999996</v>
      </c>
      <c r="J23" s="14"/>
      <c r="K23" s="14"/>
      <c r="L23" s="14"/>
      <c r="M23" s="14"/>
      <c r="N23" s="14"/>
      <c r="O23" s="14"/>
      <c r="P23" s="14"/>
      <c r="Q23" s="15">
        <f t="shared" si="0"/>
        <v>13815079.119999999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/>
      <c r="K24" s="14"/>
      <c r="L24" s="14"/>
      <c r="M24" s="14"/>
      <c r="N24" s="14"/>
      <c r="O24" s="14"/>
      <c r="P24" s="14"/>
      <c r="Q24" s="15">
        <f t="shared" si="0"/>
        <v>25521503.199999999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/>
      <c r="K25" s="14"/>
      <c r="L25" s="14"/>
      <c r="M25" s="14"/>
      <c r="N25" s="14"/>
      <c r="O25" s="14"/>
      <c r="P25" s="14"/>
      <c r="Q25" s="15">
        <f t="shared" si="0"/>
        <v>29345410.050000001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3339495.8</v>
      </c>
      <c r="J26" s="14"/>
      <c r="K26" s="14"/>
      <c r="L26" s="14"/>
      <c r="M26" s="14"/>
      <c r="N26" s="14"/>
      <c r="O26" s="14"/>
      <c r="P26" s="14"/>
      <c r="Q26" s="15">
        <f t="shared" si="0"/>
        <v>41617246.839999996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/>
      <c r="K27" s="14"/>
      <c r="L27" s="14"/>
      <c r="M27" s="14"/>
      <c r="N27" s="14"/>
      <c r="O27" s="14"/>
      <c r="P27" s="14"/>
      <c r="Q27" s="15">
        <f t="shared" si="0"/>
        <v>8858558.7300000004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10170603.68</v>
      </c>
      <c r="H28" s="14">
        <v>34557216.039999999</v>
      </c>
      <c r="I28" s="14">
        <v>36026030.130000003</v>
      </c>
      <c r="J28" s="14"/>
      <c r="K28" s="14"/>
      <c r="L28" s="14"/>
      <c r="M28" s="14"/>
      <c r="N28" s="14"/>
      <c r="O28" s="14"/>
      <c r="P28" s="14"/>
      <c r="Q28" s="15">
        <f t="shared" si="0"/>
        <v>127749760.05000001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/>
      <c r="K29" s="14"/>
      <c r="L29" s="14"/>
      <c r="M29" s="14"/>
      <c r="N29" s="14"/>
      <c r="O29" s="14"/>
      <c r="P29" s="14"/>
      <c r="Q29" s="15">
        <f t="shared" si="0"/>
        <v>23705381.360000003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>+SUM(E31:E39)</f>
        <v>3027970.37</v>
      </c>
      <c r="F30" s="11">
        <f>+SUM(F31:F39)</f>
        <v>86053694.749999985</v>
      </c>
      <c r="G30" s="11">
        <f>+SUM(G31:G39)</f>
        <v>77158710.769999996</v>
      </c>
      <c r="H30" s="11">
        <f>+SUM(H31:H39)</f>
        <v>44307623.410000004</v>
      </c>
      <c r="I30" s="11">
        <f>+SUM(I31:I39)</f>
        <v>89385847.239999995</v>
      </c>
      <c r="J30" s="11"/>
      <c r="K30" s="11"/>
      <c r="L30" s="11"/>
      <c r="M30" s="11"/>
      <c r="N30" s="11"/>
      <c r="O30" s="11"/>
      <c r="P30" s="11"/>
      <c r="Q30" s="12">
        <f t="shared" si="0"/>
        <v>299933846.53999996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/>
      <c r="K31" s="14"/>
      <c r="L31" s="14"/>
      <c r="M31" s="14"/>
      <c r="N31" s="14"/>
      <c r="O31" s="14"/>
      <c r="P31" s="14"/>
      <c r="Q31" s="15">
        <f t="shared" si="0"/>
        <v>69882510.560000002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/>
      <c r="K32" s="14"/>
      <c r="L32" s="14"/>
      <c r="M32" s="14"/>
      <c r="N32" s="14"/>
      <c r="O32" s="14"/>
      <c r="P32" s="14"/>
      <c r="Q32" s="15">
        <f t="shared" si="0"/>
        <v>2478774.5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/>
      <c r="K33" s="14"/>
      <c r="L33" s="14"/>
      <c r="M33" s="14"/>
      <c r="N33" s="14"/>
      <c r="O33" s="14"/>
      <c r="P33" s="14"/>
      <c r="Q33" s="15">
        <f t="shared" si="0"/>
        <v>1894844.53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/>
      <c r="K34" s="14"/>
      <c r="L34" s="14"/>
      <c r="M34" s="14"/>
      <c r="N34" s="14"/>
      <c r="O34" s="14"/>
      <c r="P34" s="14"/>
      <c r="Q34" s="15">
        <f t="shared" si="0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f>VLOOKUP(B35,[4]RefCCPCuenta!$B$27:$H$30,7,FALSE)</f>
        <v>68567.87</v>
      </c>
      <c r="J35" s="14"/>
      <c r="K35" s="14"/>
      <c r="L35" s="14"/>
      <c r="M35" s="14"/>
      <c r="N35" s="14"/>
      <c r="O35" s="14"/>
      <c r="P35" s="14"/>
      <c r="Q35" s="15">
        <f t="shared" si="0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f>VLOOKUP(B36,[4]RefCCPCuenta!$B$27:$H$30,7,FALSE)</f>
        <v>68778267.549999997</v>
      </c>
      <c r="J36" s="14"/>
      <c r="K36" s="14"/>
      <c r="L36" s="14"/>
      <c r="M36" s="14"/>
      <c r="N36" s="14"/>
      <c r="O36" s="14"/>
      <c r="P36" s="14"/>
      <c r="Q36" s="15">
        <f t="shared" si="0"/>
        <v>200769057.21999997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f>VLOOKUP(B37,[4]RefCCPCuenta!$B$27:$H$30,7,FALSE)</f>
        <v>3277616.41</v>
      </c>
      <c r="J37" s="14"/>
      <c r="K37" s="14"/>
      <c r="L37" s="14"/>
      <c r="M37" s="14"/>
      <c r="N37" s="14"/>
      <c r="O37" s="14"/>
      <c r="P37" s="14"/>
      <c r="Q37" s="15">
        <f t="shared" si="0"/>
        <v>10200864.460000001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/>
      <c r="K38" s="14"/>
      <c r="L38" s="14"/>
      <c r="M38" s="14"/>
      <c r="N38" s="14"/>
      <c r="O38" s="14"/>
      <c r="P38" s="14"/>
      <c r="Q38" s="15">
        <f t="shared" si="0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f>VLOOKUP(B39,[4]RefCCPCuenta!$B$27:$H$30,7,FALSE)</f>
        <v>1017191.43</v>
      </c>
      <c r="J39" s="14"/>
      <c r="K39" s="14"/>
      <c r="L39" s="14"/>
      <c r="M39" s="14"/>
      <c r="N39" s="14"/>
      <c r="O39" s="14"/>
      <c r="P39" s="14"/>
      <c r="Q39" s="15">
        <f t="shared" si="0"/>
        <v>13682971.949999999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>+SUM(E41:E48)</f>
        <v>0</v>
      </c>
      <c r="F40" s="11">
        <f>+SUM(F41:F48)</f>
        <v>5000000</v>
      </c>
      <c r="G40" s="11">
        <f>+SUM(G41:G48)</f>
        <v>5500000</v>
      </c>
      <c r="H40" s="11">
        <f>+SUM(H41:H48)</f>
        <v>0</v>
      </c>
      <c r="I40" s="11">
        <f>+SUM(I41:I48)</f>
        <v>5000000</v>
      </c>
      <c r="J40" s="11"/>
      <c r="K40" s="11"/>
      <c r="L40" s="11"/>
      <c r="M40" s="11"/>
      <c r="N40" s="11"/>
      <c r="O40" s="11"/>
      <c r="P40" s="11"/>
      <c r="Q40" s="12">
        <f t="shared" si="0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/>
      <c r="K41" s="14"/>
      <c r="L41" s="14"/>
      <c r="M41" s="14"/>
      <c r="N41" s="14"/>
      <c r="O41" s="14"/>
      <c r="P41" s="14"/>
      <c r="Q41" s="15">
        <f t="shared" si="0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  <c r="K42" s="14"/>
      <c r="L42" s="14"/>
      <c r="M42" s="14"/>
      <c r="N42" s="14"/>
      <c r="O42" s="14"/>
      <c r="P42" s="14"/>
      <c r="Q42" s="15">
        <f t="shared" si="0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/>
      <c r="K43" s="14"/>
      <c r="L43" s="14"/>
      <c r="M43" s="14"/>
      <c r="N43" s="14"/>
      <c r="O43" s="14"/>
      <c r="P43" s="14"/>
      <c r="Q43" s="15">
        <f t="shared" si="0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  <c r="K44" s="14"/>
      <c r="L44" s="14"/>
      <c r="M44" s="14"/>
      <c r="N44" s="14"/>
      <c r="O44" s="14"/>
      <c r="P44" s="14"/>
      <c r="Q44" s="15">
        <f t="shared" si="0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/>
      <c r="M45" s="14"/>
      <c r="N45" s="14"/>
      <c r="O45" s="14"/>
      <c r="P45" s="14"/>
      <c r="Q45" s="15">
        <f t="shared" si="0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/>
      <c r="K46" s="14"/>
      <c r="L46" s="14"/>
      <c r="M46" s="14"/>
      <c r="N46" s="14"/>
      <c r="O46" s="14"/>
      <c r="P46" s="14"/>
      <c r="Q46" s="15">
        <f t="shared" si="0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/>
      <c r="K47" s="14"/>
      <c r="L47" s="14"/>
      <c r="M47" s="14"/>
      <c r="N47" s="14"/>
      <c r="O47" s="14"/>
      <c r="P47" s="14"/>
      <c r="Q47" s="15">
        <f t="shared" si="0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/>
      <c r="K48" s="14"/>
      <c r="L48" s="14"/>
      <c r="M48" s="14"/>
      <c r="N48" s="14"/>
      <c r="O48" s="14"/>
      <c r="P48" s="14"/>
      <c r="Q48" s="15">
        <f t="shared" si="0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>+SUM(E50:E56)</f>
        <v>0</v>
      </c>
      <c r="F49" s="16">
        <f>+SUM(F50:F56)</f>
        <v>300000000</v>
      </c>
      <c r="G49" s="16">
        <f>+SUM(G50:G56)</f>
        <v>553513392</v>
      </c>
      <c r="H49" s="16">
        <f>+SUM(H50:H56)</f>
        <v>268916083</v>
      </c>
      <c r="I49" s="16">
        <f>+SUM(I50:I56)</f>
        <v>0</v>
      </c>
      <c r="J49" s="16"/>
      <c r="K49" s="17"/>
      <c r="L49" s="16"/>
      <c r="M49" s="16"/>
      <c r="N49" s="17"/>
      <c r="O49" s="16"/>
      <c r="P49" s="16"/>
      <c r="Q49" s="11">
        <f t="shared" si="0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8"/>
      <c r="K50" s="19"/>
      <c r="L50" s="18"/>
      <c r="M50" s="18"/>
      <c r="N50" s="19"/>
      <c r="O50" s="18"/>
      <c r="P50" s="18"/>
      <c r="Q50" s="14">
        <f t="shared" si="0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8"/>
      <c r="K51" s="19"/>
      <c r="L51" s="18"/>
      <c r="M51" s="18"/>
      <c r="N51" s="19"/>
      <c r="O51" s="18"/>
      <c r="P51" s="18"/>
      <c r="Q51" s="14">
        <f t="shared" si="0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8"/>
      <c r="K52" s="19"/>
      <c r="L52" s="18"/>
      <c r="M52" s="18"/>
      <c r="N52" s="19"/>
      <c r="O52" s="18"/>
      <c r="P52" s="18"/>
      <c r="Q52" s="14">
        <f t="shared" si="0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8"/>
      <c r="K53" s="19"/>
      <c r="L53" s="18"/>
      <c r="M53" s="18"/>
      <c r="N53" s="19"/>
      <c r="O53" s="18"/>
      <c r="P53" s="18"/>
      <c r="Q53" s="14">
        <f t="shared" si="0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8"/>
      <c r="K54" s="19"/>
      <c r="L54" s="18"/>
      <c r="M54" s="18"/>
      <c r="N54" s="19"/>
      <c r="O54" s="18"/>
      <c r="P54" s="18"/>
      <c r="Q54" s="14">
        <f t="shared" si="0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8"/>
      <c r="K55" s="19"/>
      <c r="L55" s="18"/>
      <c r="M55" s="18"/>
      <c r="N55" s="19"/>
      <c r="O55" s="18"/>
      <c r="P55" s="18"/>
      <c r="Q55" s="14">
        <f t="shared" si="0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8"/>
      <c r="K56" s="19"/>
      <c r="L56" s="18"/>
      <c r="M56" s="18"/>
      <c r="N56" s="19"/>
      <c r="O56" s="18"/>
      <c r="P56" s="18"/>
      <c r="Q56" s="14">
        <f t="shared" si="0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>+SUM(E58:E66)</f>
        <v>102908557.17</v>
      </c>
      <c r="F57" s="16">
        <f>+SUM(F58:F66)</f>
        <v>396055915.40000004</v>
      </c>
      <c r="G57" s="16">
        <f>+SUM(G58:G66)</f>
        <v>42956193.960000001</v>
      </c>
      <c r="H57" s="16">
        <f>+SUM(H58:H66)</f>
        <v>173164301.91999999</v>
      </c>
      <c r="I57" s="16">
        <f>+SUM(I58:I66)</f>
        <v>173960534.13</v>
      </c>
      <c r="J57" s="16"/>
      <c r="K57" s="17"/>
      <c r="L57" s="16"/>
      <c r="M57" s="16"/>
      <c r="N57" s="17"/>
      <c r="O57" s="16"/>
      <c r="P57" s="16"/>
      <c r="Q57" s="11">
        <f t="shared" si="0"/>
        <v>889045502.58000004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/>
      <c r="K58" s="19"/>
      <c r="L58" s="18"/>
      <c r="M58" s="18"/>
      <c r="N58" s="19"/>
      <c r="O58" s="18"/>
      <c r="P58" s="18"/>
      <c r="Q58" s="14">
        <f t="shared" si="0"/>
        <v>118106743.89000002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/>
      <c r="K59" s="19"/>
      <c r="L59" s="18"/>
      <c r="M59" s="18"/>
      <c r="N59" s="19"/>
      <c r="O59" s="18"/>
      <c r="P59" s="18"/>
      <c r="Q59" s="14">
        <f t="shared" si="0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/>
      <c r="K60" s="19"/>
      <c r="L60" s="18"/>
      <c r="M60" s="18"/>
      <c r="N60" s="19"/>
      <c r="O60" s="18"/>
      <c r="P60" s="18"/>
      <c r="Q60" s="14">
        <f t="shared" si="0"/>
        <v>633127514.63999999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/>
      <c r="K61" s="19"/>
      <c r="L61" s="18"/>
      <c r="M61" s="18"/>
      <c r="N61" s="19"/>
      <c r="O61" s="18"/>
      <c r="P61" s="18"/>
      <c r="Q61" s="14">
        <f t="shared" si="0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/>
      <c r="K62" s="19"/>
      <c r="L62" s="18"/>
      <c r="M62" s="18"/>
      <c r="N62" s="19"/>
      <c r="O62" s="18"/>
      <c r="P62" s="18"/>
      <c r="Q62" s="14">
        <f t="shared" si="0"/>
        <v>128987020.36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/>
      <c r="K63" s="19"/>
      <c r="L63" s="18"/>
      <c r="M63" s="18"/>
      <c r="N63" s="19"/>
      <c r="O63" s="18"/>
      <c r="P63" s="18"/>
      <c r="Q63" s="14">
        <f t="shared" si="0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/>
      <c r="K64" s="19"/>
      <c r="L64" s="18"/>
      <c r="M64" s="18"/>
      <c r="N64" s="19"/>
      <c r="O64" s="18"/>
      <c r="P64" s="18"/>
      <c r="Q64" s="14">
        <f t="shared" si="0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/>
      <c r="K65" s="19"/>
      <c r="L65" s="18"/>
      <c r="M65" s="18"/>
      <c r="N65" s="19"/>
      <c r="O65" s="18"/>
      <c r="P65" s="18"/>
      <c r="Q65" s="14">
        <f t="shared" si="0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/>
      <c r="K66" s="19"/>
      <c r="L66" s="18"/>
      <c r="M66" s="18"/>
      <c r="N66" s="19"/>
      <c r="O66" s="18"/>
      <c r="P66" s="18"/>
      <c r="Q66" s="14">
        <f t="shared" si="0"/>
        <v>6127520.0700000003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>+SUM(E68:E71)</f>
        <v>290900959.35000002</v>
      </c>
      <c r="F67" s="16">
        <f>+SUM(F68:F71)</f>
        <v>578304858.13999999</v>
      </c>
      <c r="G67" s="16">
        <f>+SUM(G68:G71)</f>
        <v>368276708.09000003</v>
      </c>
      <c r="H67" s="16">
        <f>+SUM(H68:H71)</f>
        <v>1247157530.4200001</v>
      </c>
      <c r="I67" s="16">
        <f>+SUM(I68:I71)</f>
        <v>1509893703.8700001</v>
      </c>
      <c r="J67" s="16"/>
      <c r="K67" s="17"/>
      <c r="L67" s="16"/>
      <c r="M67" s="16"/>
      <c r="N67" s="17"/>
      <c r="O67" s="16"/>
      <c r="P67" s="16"/>
      <c r="Q67" s="11">
        <f t="shared" si="0"/>
        <v>3994533759.8699999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1494539210.3800001</v>
      </c>
      <c r="J68" s="18"/>
      <c r="K68" s="19"/>
      <c r="L68" s="18"/>
      <c r="M68" s="18"/>
      <c r="N68" s="19"/>
      <c r="O68" s="18"/>
      <c r="P68" s="18"/>
      <c r="Q68" s="14">
        <f t="shared" si="0"/>
        <v>3751816005.6199999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/>
      <c r="K69" s="19"/>
      <c r="L69" s="18"/>
      <c r="M69" s="18"/>
      <c r="N69" s="19"/>
      <c r="O69" s="18"/>
      <c r="P69" s="18"/>
      <c r="Q69" s="14">
        <f t="shared" si="0"/>
        <v>242717754.25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8"/>
      <c r="K70" s="19"/>
      <c r="L70" s="18"/>
      <c r="M70" s="18"/>
      <c r="N70" s="19"/>
      <c r="O70" s="18"/>
      <c r="P70" s="18"/>
      <c r="Q70" s="14">
        <f t="shared" si="0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8"/>
      <c r="K71" s="19"/>
      <c r="L71" s="18"/>
      <c r="M71" s="18"/>
      <c r="N71" s="19"/>
      <c r="O71" s="18"/>
      <c r="P71" s="18"/>
      <c r="Q71" s="14">
        <f t="shared" si="0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0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8"/>
      <c r="K73" s="19"/>
      <c r="L73" s="18"/>
      <c r="M73" s="18"/>
      <c r="N73" s="19"/>
      <c r="O73" s="18"/>
      <c r="P73" s="18"/>
      <c r="Q73" s="14">
        <f t="shared" si="0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8"/>
      <c r="K74" s="19"/>
      <c r="L74" s="18"/>
      <c r="M74" s="18"/>
      <c r="N74" s="19"/>
      <c r="O74" s="18"/>
      <c r="P74" s="18"/>
      <c r="Q74" s="14">
        <f t="shared" si="0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8"/>
      <c r="K75" s="19"/>
      <c r="L75" s="18"/>
      <c r="M75" s="18"/>
      <c r="N75" s="19"/>
      <c r="O75" s="18"/>
      <c r="P75" s="18"/>
      <c r="Q75" s="14">
        <f t="shared" si="0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8"/>
      <c r="K76" s="19"/>
      <c r="L76" s="18"/>
      <c r="M76" s="18"/>
      <c r="N76" s="19"/>
      <c r="O76" s="18"/>
      <c r="P76" s="18"/>
      <c r="Q76" s="14">
        <f t="shared" si="0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8"/>
      <c r="K77" s="19"/>
      <c r="L77" s="18"/>
      <c r="M77" s="18"/>
      <c r="N77" s="19"/>
      <c r="O77" s="18"/>
      <c r="P77" s="18"/>
      <c r="Q77" s="14">
        <f t="shared" si="0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8"/>
      <c r="K79" s="19"/>
      <c r="L79" s="18"/>
      <c r="M79" s="18"/>
      <c r="N79" s="19"/>
      <c r="O79" s="18"/>
      <c r="P79" s="18"/>
      <c r="Q79" s="14">
        <f t="shared" si="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8"/>
      <c r="K80" s="19"/>
      <c r="L80" s="18"/>
      <c r="M80" s="18"/>
      <c r="N80" s="19"/>
      <c r="O80" s="18"/>
      <c r="P80" s="18"/>
      <c r="Q80" s="14">
        <f t="shared" si="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8"/>
      <c r="K81" s="19"/>
      <c r="L81" s="18"/>
      <c r="M81" s="18"/>
      <c r="N81" s="19"/>
      <c r="O81" s="18"/>
      <c r="P81" s="18"/>
      <c r="Q81" s="14">
        <f t="shared" si="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8"/>
      <c r="K82" s="19"/>
      <c r="L82" s="18"/>
      <c r="M82" s="18"/>
      <c r="N82" s="19"/>
      <c r="O82" s="18"/>
      <c r="P82" s="18"/>
      <c r="Q82" s="14">
        <f t="shared" si="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8"/>
      <c r="K83" s="19"/>
      <c r="L83" s="18"/>
      <c r="M83" s="18"/>
      <c r="N83" s="19"/>
      <c r="O83" s="18"/>
      <c r="P83" s="18"/>
      <c r="Q83" s="14">
        <f t="shared" si="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8"/>
      <c r="K86" s="19"/>
      <c r="L86" s="18"/>
      <c r="M86" s="18"/>
      <c r="N86" s="19"/>
      <c r="O86" s="18"/>
      <c r="P86" s="18"/>
      <c r="Q86" s="14">
        <f t="shared" si="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8"/>
      <c r="K87" s="19"/>
      <c r="L87" s="18"/>
      <c r="M87" s="18"/>
      <c r="N87" s="19"/>
      <c r="O87" s="18"/>
      <c r="P87" s="18"/>
      <c r="Q87" s="14">
        <f t="shared" si="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8"/>
      <c r="K89" s="19"/>
      <c r="L89" s="18"/>
      <c r="M89" s="18"/>
      <c r="N89" s="19"/>
      <c r="O89" s="18"/>
      <c r="P89" s="18"/>
      <c r="Q89" s="14">
        <f t="shared" si="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8"/>
      <c r="K90" s="19"/>
      <c r="L90" s="18"/>
      <c r="M90" s="18"/>
      <c r="N90" s="19"/>
      <c r="O90" s="18"/>
      <c r="P90" s="18"/>
      <c r="Q90" s="14">
        <f t="shared" si="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">+E13</f>
        <v>559848065.21000004</v>
      </c>
      <c r="F93" s="23">
        <f t="shared" si="2"/>
        <v>1585230502.4400001</v>
      </c>
      <c r="G93" s="23">
        <f t="shared" si="2"/>
        <v>1240055676.5500002</v>
      </c>
      <c r="H93" s="23">
        <f t="shared" si="2"/>
        <v>1977896955.3099999</v>
      </c>
      <c r="I93" s="23">
        <f t="shared" si="2"/>
        <v>2079618224.8200002</v>
      </c>
      <c r="J93" s="23">
        <f t="shared" si="2"/>
        <v>0</v>
      </c>
      <c r="K93" s="22">
        <f t="shared" si="2"/>
        <v>0</v>
      </c>
      <c r="L93" s="23">
        <f t="shared" si="2"/>
        <v>0</v>
      </c>
      <c r="M93" s="23">
        <f t="shared" si="2"/>
        <v>0</v>
      </c>
      <c r="N93" s="22">
        <f t="shared" si="2"/>
        <v>0</v>
      </c>
      <c r="O93" s="23">
        <f t="shared" si="2"/>
        <v>0</v>
      </c>
      <c r="P93" s="23">
        <f t="shared" si="2"/>
        <v>0</v>
      </c>
      <c r="Q93" s="22">
        <f t="shared" ref="Q93" si="3">SUM(E93:P93)</f>
        <v>7442649424.3299999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24D0-7941-4B20-95B0-3ADA29442F64}">
  <sheetPr>
    <pageSetUpPr fitToPage="1"/>
  </sheetPr>
  <dimension ref="B4:Q99"/>
  <sheetViews>
    <sheetView showGridLines="0" topLeftCell="A1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0" width="23.140625" bestFit="1" customWidth="1"/>
    <col min="11" max="11" width="7.42578125" customWidth="1"/>
    <col min="12" max="12" width="8.140625" customWidth="1"/>
    <col min="13" max="13" width="12.140625" customWidth="1"/>
    <col min="14" max="14" width="9.140625" customWidth="1"/>
    <col min="15" max="15" width="11.42578125" customWidth="1"/>
    <col min="16" max="16" width="10.7109375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J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 t="shared" si="0"/>
        <v>2088391073.49</v>
      </c>
      <c r="J13" s="8">
        <f t="shared" si="0"/>
        <v>1418836949.2700002</v>
      </c>
      <c r="K13" s="8"/>
      <c r="L13" s="8"/>
      <c r="M13" s="8"/>
      <c r="N13" s="8"/>
      <c r="O13" s="8"/>
      <c r="P13" s="8"/>
      <c r="Q13" s="9">
        <f>+SUM(E13:P13)</f>
        <v>8869465785.7900009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/>
      <c r="L14" s="11"/>
      <c r="M14" s="11"/>
      <c r="N14" s="11"/>
      <c r="O14" s="11"/>
      <c r="P14" s="11"/>
      <c r="Q14" s="12">
        <f t="shared" ref="Q14:Q77" si="2">+SUM(E14:P14)</f>
        <v>861264209.48000002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/>
      <c r="L15" s="14"/>
      <c r="M15" s="14"/>
      <c r="N15" s="14"/>
      <c r="O15" s="14"/>
      <c r="P15" s="14"/>
      <c r="Q15" s="15">
        <f t="shared" si="2"/>
        <v>645072355.34000003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/>
      <c r="L16" s="14"/>
      <c r="M16" s="14"/>
      <c r="N16" s="14"/>
      <c r="O16" s="14"/>
      <c r="P16" s="14"/>
      <c r="Q16" s="15">
        <f t="shared" si="2"/>
        <v>120107088.28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/>
      <c r="L17" s="14"/>
      <c r="M17" s="14"/>
      <c r="N17" s="14"/>
      <c r="O17" s="14"/>
      <c r="P17" s="14"/>
      <c r="Q17" s="15">
        <f t="shared" si="2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/>
      <c r="L18" s="14"/>
      <c r="M18" s="14"/>
      <c r="N18" s="14"/>
      <c r="O18" s="14"/>
      <c r="P18" s="14"/>
      <c r="Q18" s="15">
        <f t="shared" si="2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/>
      <c r="L19" s="14"/>
      <c r="M19" s="14"/>
      <c r="N19" s="14"/>
      <c r="O19" s="14"/>
      <c r="P19" s="14"/>
      <c r="Q19" s="15">
        <f t="shared" si="2"/>
        <v>96084765.859999999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J20" si="3">+SUM(E21:E29)</f>
        <v>40556595.619999997</v>
      </c>
      <c r="F20" s="11">
        <f t="shared" si="3"/>
        <v>91554973.600000009</v>
      </c>
      <c r="G20" s="11">
        <f t="shared" si="3"/>
        <v>57668012.760000005</v>
      </c>
      <c r="H20" s="11">
        <f t="shared" si="3"/>
        <v>113928389.41</v>
      </c>
      <c r="I20" s="11">
        <f t="shared" si="3"/>
        <v>86679827.090000004</v>
      </c>
      <c r="J20" s="11">
        <f t="shared" si="3"/>
        <v>138424263.62</v>
      </c>
      <c r="K20" s="11"/>
      <c r="L20" s="11"/>
      <c r="M20" s="11"/>
      <c r="N20" s="11"/>
      <c r="O20" s="11"/>
      <c r="P20" s="11"/>
      <c r="Q20" s="12">
        <f t="shared" si="2"/>
        <v>528812062.10000002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/>
      <c r="L21" s="14"/>
      <c r="M21" s="14"/>
      <c r="N21" s="14"/>
      <c r="O21" s="14"/>
      <c r="P21" s="14"/>
      <c r="Q21" s="15">
        <f t="shared" si="2"/>
        <v>18640492.25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/>
      <c r="L22" s="14"/>
      <c r="M22" s="14"/>
      <c r="N22" s="14"/>
      <c r="O22" s="14"/>
      <c r="P22" s="14"/>
      <c r="Q22" s="15">
        <f t="shared" si="2"/>
        <v>108232129.04000001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2689029.5</v>
      </c>
      <c r="K23" s="14"/>
      <c r="L23" s="14"/>
      <c r="M23" s="14"/>
      <c r="N23" s="14"/>
      <c r="O23" s="14"/>
      <c r="P23" s="14"/>
      <c r="Q23" s="15">
        <f t="shared" si="2"/>
        <v>16075691.119999999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/>
      <c r="L24" s="14"/>
      <c r="M24" s="14"/>
      <c r="N24" s="14"/>
      <c r="O24" s="14"/>
      <c r="P24" s="14"/>
      <c r="Q24" s="15">
        <f t="shared" si="2"/>
        <v>31624128.16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/>
      <c r="L25" s="14"/>
      <c r="M25" s="14"/>
      <c r="N25" s="14"/>
      <c r="O25" s="14"/>
      <c r="P25" s="14"/>
      <c r="Q25" s="15">
        <f t="shared" si="2"/>
        <v>84364501.890000001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/>
      <c r="L26" s="14"/>
      <c r="M26" s="14"/>
      <c r="N26" s="14"/>
      <c r="O26" s="14"/>
      <c r="P26" s="14"/>
      <c r="Q26" s="15">
        <f t="shared" si="2"/>
        <v>45265858.889999993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/>
      <c r="L27" s="14"/>
      <c r="M27" s="14"/>
      <c r="N27" s="14"/>
      <c r="O27" s="14"/>
      <c r="P27" s="14"/>
      <c r="Q27" s="15">
        <f t="shared" si="2"/>
        <v>10890422.440000001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/>
      <c r="L28" s="14"/>
      <c r="M28" s="14"/>
      <c r="N28" s="14"/>
      <c r="O28" s="14"/>
      <c r="P28" s="14"/>
      <c r="Q28" s="15">
        <f t="shared" si="2"/>
        <v>189714485.00999999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/>
      <c r="L29" s="14"/>
      <c r="M29" s="14"/>
      <c r="N29" s="14"/>
      <c r="O29" s="14"/>
      <c r="P29" s="14"/>
      <c r="Q29" s="15">
        <f t="shared" si="2"/>
        <v>24004353.300000004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J30" si="4">+SUM(E31:E39)</f>
        <v>3027970.37</v>
      </c>
      <c r="F30" s="11">
        <f t="shared" si="4"/>
        <v>86053694.749999985</v>
      </c>
      <c r="G30" s="11">
        <f t="shared" si="4"/>
        <v>77158710.769999996</v>
      </c>
      <c r="H30" s="11">
        <f t="shared" si="4"/>
        <v>44307623.410000004</v>
      </c>
      <c r="I30" s="11">
        <f t="shared" si="4"/>
        <v>89385847.239999995</v>
      </c>
      <c r="J30" s="11">
        <f t="shared" si="4"/>
        <v>79366224.799999997</v>
      </c>
      <c r="K30" s="11"/>
      <c r="L30" s="11"/>
      <c r="M30" s="11"/>
      <c r="N30" s="11"/>
      <c r="O30" s="11"/>
      <c r="P30" s="11"/>
      <c r="Q30" s="12">
        <f t="shared" si="2"/>
        <v>379300071.33999997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/>
      <c r="L31" s="14"/>
      <c r="M31" s="14"/>
      <c r="N31" s="14"/>
      <c r="O31" s="14"/>
      <c r="P31" s="14"/>
      <c r="Q31" s="15">
        <f t="shared" si="2"/>
        <v>107354764.58000001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/>
      <c r="L32" s="14"/>
      <c r="M32" s="14"/>
      <c r="N32" s="14"/>
      <c r="O32" s="14"/>
      <c r="P32" s="14"/>
      <c r="Q32" s="15">
        <f t="shared" si="2"/>
        <v>2866847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/>
      <c r="L33" s="14"/>
      <c r="M33" s="14"/>
      <c r="N33" s="14"/>
      <c r="O33" s="14"/>
      <c r="P33" s="14"/>
      <c r="Q33" s="15">
        <f t="shared" si="2"/>
        <v>1894844.53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/>
      <c r="L34" s="14"/>
      <c r="M34" s="14"/>
      <c r="N34" s="14"/>
      <c r="O34" s="14"/>
      <c r="P34" s="14"/>
      <c r="Q34" s="15">
        <f t="shared" si="2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/>
      <c r="L35" s="14"/>
      <c r="M35" s="14"/>
      <c r="N35" s="14"/>
      <c r="O35" s="14"/>
      <c r="P35" s="14"/>
      <c r="Q35" s="15">
        <f t="shared" si="2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/>
      <c r="L36" s="14"/>
      <c r="M36" s="14"/>
      <c r="N36" s="14"/>
      <c r="O36" s="14"/>
      <c r="P36" s="14"/>
      <c r="Q36" s="15">
        <f t="shared" si="2"/>
        <v>240277957.16999996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/>
      <c r="L37" s="14"/>
      <c r="M37" s="14"/>
      <c r="N37" s="14"/>
      <c r="O37" s="14"/>
      <c r="P37" s="14"/>
      <c r="Q37" s="15">
        <f t="shared" si="2"/>
        <v>11530245.210000001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/>
      <c r="Q38" s="15">
        <f t="shared" si="2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/>
      <c r="L39" s="14"/>
      <c r="M39" s="14"/>
      <c r="N39" s="14"/>
      <c r="O39" s="14"/>
      <c r="P39" s="14"/>
      <c r="Q39" s="15">
        <f t="shared" si="2"/>
        <v>14350589.529999999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J40" si="5">+SUM(E41:E48)</f>
        <v>0</v>
      </c>
      <c r="F40" s="11">
        <f t="shared" si="5"/>
        <v>5000000</v>
      </c>
      <c r="G40" s="11">
        <f t="shared" si="5"/>
        <v>5500000</v>
      </c>
      <c r="H40" s="11">
        <f t="shared" si="5"/>
        <v>0</v>
      </c>
      <c r="I40" s="11">
        <f t="shared" si="5"/>
        <v>5000000</v>
      </c>
      <c r="J40" s="11">
        <f t="shared" si="5"/>
        <v>0</v>
      </c>
      <c r="K40" s="11"/>
      <c r="L40" s="11"/>
      <c r="M40" s="11"/>
      <c r="N40" s="11"/>
      <c r="O40" s="11"/>
      <c r="P40" s="11"/>
      <c r="Q40" s="12">
        <f t="shared" si="2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/>
      <c r="L41" s="14"/>
      <c r="M41" s="14"/>
      <c r="N41" s="14"/>
      <c r="O41" s="14"/>
      <c r="P41" s="14"/>
      <c r="Q41" s="15">
        <f t="shared" si="2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/>
      <c r="L42" s="14"/>
      <c r="M42" s="14"/>
      <c r="N42" s="14"/>
      <c r="O42" s="14"/>
      <c r="P42" s="14"/>
      <c r="Q42" s="15">
        <f t="shared" si="2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/>
      <c r="L43" s="14"/>
      <c r="M43" s="14"/>
      <c r="N43" s="14"/>
      <c r="O43" s="14"/>
      <c r="P43" s="14"/>
      <c r="Q43" s="15">
        <f t="shared" si="2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/>
      <c r="L44" s="14"/>
      <c r="M44" s="14"/>
      <c r="N44" s="14"/>
      <c r="O44" s="14"/>
      <c r="P44" s="14"/>
      <c r="Q44" s="15">
        <f t="shared" si="2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/>
      <c r="Q45" s="15">
        <f t="shared" si="2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/>
      <c r="Q46" s="15">
        <f t="shared" si="2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/>
      <c r="Q47" s="15">
        <f t="shared" si="2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/>
      <c r="Q48" s="15">
        <f t="shared" si="2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J49" si="6">+SUM(E50:E56)</f>
        <v>0</v>
      </c>
      <c r="F49" s="16">
        <f t="shared" si="6"/>
        <v>300000000</v>
      </c>
      <c r="G49" s="16">
        <f t="shared" si="6"/>
        <v>553513392</v>
      </c>
      <c r="H49" s="16">
        <f t="shared" si="6"/>
        <v>268916083</v>
      </c>
      <c r="I49" s="16">
        <f t="shared" si="6"/>
        <v>0</v>
      </c>
      <c r="J49" s="16">
        <f t="shared" si="6"/>
        <v>0</v>
      </c>
      <c r="K49" s="17"/>
      <c r="L49" s="16"/>
      <c r="M49" s="16"/>
      <c r="N49" s="17"/>
      <c r="O49" s="16"/>
      <c r="P49" s="16"/>
      <c r="Q49" s="11">
        <f t="shared" si="2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9"/>
      <c r="L50" s="18"/>
      <c r="M50" s="18"/>
      <c r="N50" s="19"/>
      <c r="O50" s="18"/>
      <c r="P50" s="18"/>
      <c r="Q50" s="14">
        <f t="shared" si="2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9"/>
      <c r="L51" s="18"/>
      <c r="M51" s="18"/>
      <c r="N51" s="19"/>
      <c r="O51" s="18"/>
      <c r="P51" s="18"/>
      <c r="Q51" s="14">
        <f t="shared" si="2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9"/>
      <c r="L52" s="18"/>
      <c r="M52" s="18"/>
      <c r="N52" s="19"/>
      <c r="O52" s="18"/>
      <c r="P52" s="18"/>
      <c r="Q52" s="14">
        <f t="shared" si="2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9"/>
      <c r="L53" s="18"/>
      <c r="M53" s="18"/>
      <c r="N53" s="19"/>
      <c r="O53" s="18"/>
      <c r="P53" s="18"/>
      <c r="Q53" s="14">
        <f t="shared" si="2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9"/>
      <c r="L54" s="18"/>
      <c r="M54" s="18"/>
      <c r="N54" s="19"/>
      <c r="O54" s="18"/>
      <c r="P54" s="18"/>
      <c r="Q54" s="14">
        <f t="shared" si="2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9"/>
      <c r="L55" s="18"/>
      <c r="M55" s="18"/>
      <c r="N55" s="19"/>
      <c r="O55" s="18"/>
      <c r="P55" s="18"/>
      <c r="Q55" s="14">
        <f t="shared" si="2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9"/>
      <c r="L56" s="18"/>
      <c r="M56" s="18"/>
      <c r="N56" s="19"/>
      <c r="O56" s="18"/>
      <c r="P56" s="18"/>
      <c r="Q56" s="14">
        <f t="shared" si="2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J57" si="7">+SUM(E58:E66)</f>
        <v>102908557.17</v>
      </c>
      <c r="F57" s="16">
        <f t="shared" si="7"/>
        <v>396055915.40000004</v>
      </c>
      <c r="G57" s="16">
        <f t="shared" si="7"/>
        <v>42956193.960000001</v>
      </c>
      <c r="H57" s="16">
        <f t="shared" si="7"/>
        <v>173164301.91999999</v>
      </c>
      <c r="I57" s="16">
        <f t="shared" si="7"/>
        <v>173960534.13</v>
      </c>
      <c r="J57" s="16">
        <f t="shared" si="7"/>
        <v>61305094.619999997</v>
      </c>
      <c r="K57" s="17"/>
      <c r="L57" s="16"/>
      <c r="M57" s="16"/>
      <c r="N57" s="17"/>
      <c r="O57" s="16"/>
      <c r="P57" s="16"/>
      <c r="Q57" s="11">
        <f t="shared" si="2"/>
        <v>950350597.20000005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9"/>
      <c r="L58" s="18"/>
      <c r="M58" s="18"/>
      <c r="N58" s="19"/>
      <c r="O58" s="18"/>
      <c r="P58" s="18"/>
      <c r="Q58" s="14">
        <f t="shared" si="2"/>
        <v>142064563.47000003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9"/>
      <c r="L59" s="18"/>
      <c r="M59" s="18"/>
      <c r="N59" s="19"/>
      <c r="O59" s="18"/>
      <c r="P59" s="18"/>
      <c r="Q59" s="14">
        <f t="shared" si="2"/>
        <v>2656931.58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9"/>
      <c r="L60" s="18"/>
      <c r="M60" s="18"/>
      <c r="N60" s="19"/>
      <c r="O60" s="18"/>
      <c r="P60" s="18"/>
      <c r="Q60" s="14">
        <f t="shared" si="2"/>
        <v>656687161.78999996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9"/>
      <c r="L61" s="18"/>
      <c r="M61" s="18"/>
      <c r="N61" s="19"/>
      <c r="O61" s="18"/>
      <c r="P61" s="18"/>
      <c r="Q61" s="14">
        <f t="shared" si="2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9"/>
      <c r="L62" s="18"/>
      <c r="M62" s="18"/>
      <c r="N62" s="19"/>
      <c r="O62" s="18"/>
      <c r="P62" s="18"/>
      <c r="Q62" s="14">
        <f t="shared" si="2"/>
        <v>137063368.28999999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9"/>
      <c r="L63" s="18"/>
      <c r="M63" s="18"/>
      <c r="N63" s="19"/>
      <c r="O63" s="18"/>
      <c r="P63" s="18"/>
      <c r="Q63" s="14">
        <f t="shared" si="2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9"/>
      <c r="L64" s="18"/>
      <c r="M64" s="18"/>
      <c r="N64" s="19"/>
      <c r="O64" s="18"/>
      <c r="P64" s="18"/>
      <c r="Q64" s="14">
        <f t="shared" si="2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9"/>
      <c r="L65" s="18"/>
      <c r="M65" s="18"/>
      <c r="N65" s="19"/>
      <c r="O65" s="18"/>
      <c r="P65" s="18"/>
      <c r="Q65" s="14">
        <f t="shared" si="2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9"/>
      <c r="L66" s="18"/>
      <c r="M66" s="18"/>
      <c r="N66" s="19"/>
      <c r="O66" s="18"/>
      <c r="P66" s="18"/>
      <c r="Q66" s="14">
        <f t="shared" si="2"/>
        <v>11838800.030000001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J67" si="8">+SUM(E68:E71)</f>
        <v>290900959.35000002</v>
      </c>
      <c r="F67" s="16">
        <f t="shared" si="8"/>
        <v>578304858.13999999</v>
      </c>
      <c r="G67" s="16">
        <f t="shared" si="8"/>
        <v>368276708.09000003</v>
      </c>
      <c r="H67" s="16">
        <f t="shared" si="8"/>
        <v>1247157530.4200001</v>
      </c>
      <c r="I67" s="16">
        <f t="shared" si="8"/>
        <v>1518608414.04</v>
      </c>
      <c r="J67" s="16">
        <f t="shared" si="8"/>
        <v>1008560900.6300001</v>
      </c>
      <c r="K67" s="17"/>
      <c r="L67" s="16"/>
      <c r="M67" s="16"/>
      <c r="N67" s="17"/>
      <c r="O67" s="16"/>
      <c r="P67" s="16"/>
      <c r="Q67" s="11">
        <f t="shared" si="2"/>
        <v>5011809370.6700001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1503253920.55</v>
      </c>
      <c r="J68" s="18">
        <v>703838234.08000004</v>
      </c>
      <c r="K68" s="19"/>
      <c r="L68" s="18"/>
      <c r="M68" s="18"/>
      <c r="N68" s="19"/>
      <c r="O68" s="18"/>
      <c r="P68" s="18"/>
      <c r="Q68" s="14">
        <f t="shared" si="2"/>
        <v>4464368949.8699999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304722666.55000001</v>
      </c>
      <c r="K69" s="19"/>
      <c r="L69" s="18"/>
      <c r="M69" s="18"/>
      <c r="N69" s="19"/>
      <c r="O69" s="18"/>
      <c r="P69" s="18"/>
      <c r="Q69" s="14">
        <f t="shared" si="2"/>
        <v>547440420.79999995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9"/>
      <c r="L70" s="18"/>
      <c r="M70" s="18"/>
      <c r="N70" s="19"/>
      <c r="O70" s="18"/>
      <c r="P70" s="18"/>
      <c r="Q70" s="14">
        <f t="shared" si="2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9"/>
      <c r="L71" s="18"/>
      <c r="M71" s="18"/>
      <c r="N71" s="19"/>
      <c r="O71" s="18"/>
      <c r="P71" s="18"/>
      <c r="Q71" s="14">
        <f t="shared" si="2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2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9"/>
      <c r="L73" s="18"/>
      <c r="M73" s="18"/>
      <c r="N73" s="19"/>
      <c r="O73" s="18"/>
      <c r="P73" s="18"/>
      <c r="Q73" s="14">
        <f t="shared" si="2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9"/>
      <c r="L74" s="18"/>
      <c r="M74" s="18"/>
      <c r="N74" s="19"/>
      <c r="O74" s="18"/>
      <c r="P74" s="18"/>
      <c r="Q74" s="14">
        <f t="shared" si="2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9"/>
      <c r="L75" s="18"/>
      <c r="M75" s="18"/>
      <c r="N75" s="19"/>
      <c r="O75" s="18"/>
      <c r="P75" s="18"/>
      <c r="Q75" s="14">
        <f t="shared" si="2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9"/>
      <c r="L76" s="18"/>
      <c r="M76" s="18"/>
      <c r="N76" s="19"/>
      <c r="O76" s="18"/>
      <c r="P76" s="18"/>
      <c r="Q76" s="14">
        <f t="shared" si="2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9"/>
      <c r="L77" s="18"/>
      <c r="M77" s="18"/>
      <c r="N77" s="19"/>
      <c r="O77" s="18"/>
      <c r="P77" s="18"/>
      <c r="Q77" s="14">
        <f t="shared" si="2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9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9"/>
      <c r="L79" s="18"/>
      <c r="M79" s="18"/>
      <c r="N79" s="19"/>
      <c r="O79" s="18"/>
      <c r="P79" s="18"/>
      <c r="Q79" s="14">
        <f t="shared" si="9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9"/>
      <c r="L80" s="18"/>
      <c r="M80" s="18"/>
      <c r="N80" s="19"/>
      <c r="O80" s="18"/>
      <c r="P80" s="18"/>
      <c r="Q80" s="14">
        <f t="shared" si="9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9"/>
      <c r="L81" s="18"/>
      <c r="M81" s="18"/>
      <c r="N81" s="19"/>
      <c r="O81" s="18"/>
      <c r="P81" s="18"/>
      <c r="Q81" s="14">
        <f t="shared" si="9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9"/>
      <c r="L82" s="18"/>
      <c r="M82" s="18"/>
      <c r="N82" s="19"/>
      <c r="O82" s="18"/>
      <c r="P82" s="18"/>
      <c r="Q82" s="14">
        <f t="shared" si="9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9"/>
      <c r="L83" s="18"/>
      <c r="M83" s="18"/>
      <c r="N83" s="19"/>
      <c r="O83" s="18"/>
      <c r="P83" s="18"/>
      <c r="Q83" s="14">
        <f t="shared" si="9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9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9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9"/>
      <c r="L86" s="18"/>
      <c r="M86" s="18"/>
      <c r="N86" s="19"/>
      <c r="O86" s="18"/>
      <c r="P86" s="18"/>
      <c r="Q86" s="14">
        <f t="shared" si="9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9"/>
      <c r="L87" s="18"/>
      <c r="M87" s="18"/>
      <c r="N87" s="19"/>
      <c r="O87" s="18"/>
      <c r="P87" s="18"/>
      <c r="Q87" s="14">
        <f t="shared" si="9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9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9"/>
      <c r="L89" s="18"/>
      <c r="M89" s="18"/>
      <c r="N89" s="19"/>
      <c r="O89" s="18"/>
      <c r="P89" s="18"/>
      <c r="Q89" s="14">
        <f t="shared" si="9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9"/>
      <c r="L90" s="18"/>
      <c r="M90" s="18"/>
      <c r="N90" s="19"/>
      <c r="O90" s="18"/>
      <c r="P90" s="18"/>
      <c r="Q90" s="14">
        <f t="shared" si="9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9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9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0">+E13</f>
        <v>559848065.21000004</v>
      </c>
      <c r="F93" s="23">
        <f t="shared" si="10"/>
        <v>1585230502.4400001</v>
      </c>
      <c r="G93" s="23">
        <f t="shared" si="10"/>
        <v>1239297640.0700002</v>
      </c>
      <c r="H93" s="23">
        <f t="shared" si="10"/>
        <v>1977861555.3099999</v>
      </c>
      <c r="I93" s="23">
        <f t="shared" si="10"/>
        <v>2088391073.49</v>
      </c>
      <c r="J93" s="23">
        <f t="shared" si="10"/>
        <v>1418836949.2700002</v>
      </c>
      <c r="K93" s="22">
        <f t="shared" si="10"/>
        <v>0</v>
      </c>
      <c r="L93" s="23">
        <f t="shared" si="10"/>
        <v>0</v>
      </c>
      <c r="M93" s="23">
        <f t="shared" si="10"/>
        <v>0</v>
      </c>
      <c r="N93" s="22">
        <f t="shared" si="10"/>
        <v>0</v>
      </c>
      <c r="O93" s="23">
        <f t="shared" si="10"/>
        <v>0</v>
      </c>
      <c r="P93" s="23">
        <f t="shared" si="10"/>
        <v>0</v>
      </c>
      <c r="Q93" s="22">
        <f t="shared" ref="Q93" si="11">SUM(E93:P93)</f>
        <v>8869465785.7900009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DC7C-8A23-4044-B257-574CC049B739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9" width="23.5703125" bestFit="1" customWidth="1"/>
    <col min="10" max="10" width="23.140625" bestFit="1" customWidth="1"/>
    <col min="11" max="11" width="20.5703125" bestFit="1" customWidth="1"/>
    <col min="12" max="12" width="8.140625" hidden="1" customWidth="1"/>
    <col min="13" max="13" width="12.140625" hidden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J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 t="shared" ref="K13" si="1">+K14+K20+K30+K40+K49+K57+K67+K72+K78+K85+K88+K91</f>
        <v>707715566.47000003</v>
      </c>
      <c r="L13" s="8"/>
      <c r="M13" s="8"/>
      <c r="N13" s="8"/>
      <c r="O13" s="8"/>
      <c r="P13" s="8"/>
      <c r="Q13" s="9">
        <f>+SUM(E13:P13)</f>
        <v>9531765277.8599987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" si="3">+SUM(K15:K19)</f>
        <v>131029669.94</v>
      </c>
      <c r="L14" s="11"/>
      <c r="M14" s="11"/>
      <c r="N14" s="11"/>
      <c r="O14" s="11"/>
      <c r="P14" s="11"/>
      <c r="Q14" s="12">
        <f t="shared" ref="Q14:Q77" si="4">+SUM(E14:P14)</f>
        <v>992293879.42000008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/>
      <c r="M15" s="14"/>
      <c r="N15" s="14"/>
      <c r="O15" s="14"/>
      <c r="P15" s="14"/>
      <c r="Q15" s="15">
        <f t="shared" si="4"/>
        <v>752870746.6500001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/>
      <c r="M16" s="14"/>
      <c r="N16" s="14"/>
      <c r="O16" s="14"/>
      <c r="P16" s="14"/>
      <c r="Q16" s="15">
        <f t="shared" si="4"/>
        <v>126970088.28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/>
      <c r="M17" s="14"/>
      <c r="N17" s="14"/>
      <c r="O17" s="14"/>
      <c r="P17" s="14"/>
      <c r="Q17" s="15">
        <f t="shared" si="4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/>
      <c r="M18" s="14"/>
      <c r="N18" s="14"/>
      <c r="O18" s="14"/>
      <c r="P18" s="14"/>
      <c r="Q18" s="15">
        <f t="shared" si="4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/>
      <c r="M19" s="14"/>
      <c r="N19" s="14"/>
      <c r="O19" s="14"/>
      <c r="P19" s="14"/>
      <c r="Q19" s="15">
        <f t="shared" si="4"/>
        <v>112453044.48999999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5">+SUM(E21:E29)</f>
        <v>40556595.619999997</v>
      </c>
      <c r="F20" s="11">
        <f t="shared" si="5"/>
        <v>91554973.600000009</v>
      </c>
      <c r="G20" s="11">
        <f t="shared" si="5"/>
        <v>57668012.760000005</v>
      </c>
      <c r="H20" s="11">
        <f t="shared" si="5"/>
        <v>113928389.41</v>
      </c>
      <c r="I20" s="11">
        <f t="shared" si="5"/>
        <v>86679827.090000004</v>
      </c>
      <c r="J20" s="11">
        <f t="shared" si="5"/>
        <v>138000426.12</v>
      </c>
      <c r="K20" s="11">
        <f t="shared" si="5"/>
        <v>61701926.289999999</v>
      </c>
      <c r="L20" s="11"/>
      <c r="M20" s="11"/>
      <c r="N20" s="11"/>
      <c r="O20" s="11"/>
      <c r="P20" s="11"/>
      <c r="Q20" s="12">
        <f t="shared" si="4"/>
        <v>590090150.88999999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/>
      <c r="M21" s="14"/>
      <c r="N21" s="14"/>
      <c r="O21" s="14"/>
      <c r="P21" s="14"/>
      <c r="Q21" s="15">
        <f t="shared" si="4"/>
        <v>22179256.809999999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368000</v>
      </c>
      <c r="L22" s="14"/>
      <c r="M22" s="14"/>
      <c r="N22" s="14"/>
      <c r="O22" s="14"/>
      <c r="P22" s="14"/>
      <c r="Q22" s="15">
        <f t="shared" si="4"/>
        <v>108600129.04000001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/>
      <c r="M23" s="14"/>
      <c r="N23" s="14"/>
      <c r="O23" s="14"/>
      <c r="P23" s="14"/>
      <c r="Q23" s="15">
        <f t="shared" si="4"/>
        <v>19377113.619999997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5366040.96</v>
      </c>
      <c r="L24" s="14"/>
      <c r="M24" s="14"/>
      <c r="N24" s="14"/>
      <c r="O24" s="14"/>
      <c r="P24" s="14"/>
      <c r="Q24" s="15">
        <f t="shared" si="4"/>
        <v>36990169.119999997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/>
      <c r="M25" s="14"/>
      <c r="N25" s="14"/>
      <c r="O25" s="14"/>
      <c r="P25" s="14"/>
      <c r="Q25" s="15">
        <f t="shared" si="4"/>
        <v>97134046.790000007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3465857.34</v>
      </c>
      <c r="L26" s="14"/>
      <c r="M26" s="14"/>
      <c r="N26" s="14"/>
      <c r="O26" s="14"/>
      <c r="P26" s="14"/>
      <c r="Q26" s="15">
        <f t="shared" si="4"/>
        <v>48731716.229999989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1397124.56</v>
      </c>
      <c r="L27" s="14"/>
      <c r="M27" s="14"/>
      <c r="N27" s="14"/>
      <c r="O27" s="14"/>
      <c r="P27" s="14"/>
      <c r="Q27" s="15">
        <f t="shared" si="4"/>
        <v>12287547.000000002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27299764.109999999</v>
      </c>
      <c r="L28" s="14"/>
      <c r="M28" s="14"/>
      <c r="N28" s="14"/>
      <c r="O28" s="14"/>
      <c r="P28" s="14"/>
      <c r="Q28" s="15">
        <f t="shared" si="4"/>
        <v>217014249.12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/>
      <c r="M29" s="14"/>
      <c r="N29" s="14"/>
      <c r="O29" s="14"/>
      <c r="P29" s="14"/>
      <c r="Q29" s="15">
        <f t="shared" si="4"/>
        <v>27775923.160000004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K30" si="6">+SUM(E31:E39)</f>
        <v>3027970.37</v>
      </c>
      <c r="F30" s="11">
        <f t="shared" si="6"/>
        <v>86053694.749999985</v>
      </c>
      <c r="G30" s="11">
        <f t="shared" si="6"/>
        <v>77158710.769999996</v>
      </c>
      <c r="H30" s="11">
        <f t="shared" si="6"/>
        <v>44307623.410000004</v>
      </c>
      <c r="I30" s="11">
        <f t="shared" si="6"/>
        <v>89385847.239999995</v>
      </c>
      <c r="J30" s="11">
        <f t="shared" si="6"/>
        <v>79366224.799999997</v>
      </c>
      <c r="K30" s="11">
        <f t="shared" si="6"/>
        <v>3076376.47</v>
      </c>
      <c r="L30" s="11"/>
      <c r="M30" s="11"/>
      <c r="N30" s="11"/>
      <c r="O30" s="11"/>
      <c r="P30" s="11"/>
      <c r="Q30" s="12">
        <f t="shared" si="4"/>
        <v>382376447.81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741096.4</v>
      </c>
      <c r="L31" s="14"/>
      <c r="M31" s="14"/>
      <c r="N31" s="14"/>
      <c r="O31" s="14"/>
      <c r="P31" s="14"/>
      <c r="Q31" s="15">
        <f t="shared" si="4"/>
        <v>108095860.98000002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175820</v>
      </c>
      <c r="L32" s="14"/>
      <c r="M32" s="14"/>
      <c r="N32" s="14"/>
      <c r="O32" s="14"/>
      <c r="P32" s="14"/>
      <c r="Q32" s="15">
        <f t="shared" si="4"/>
        <v>3042667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375829.22</v>
      </c>
      <c r="L33" s="14"/>
      <c r="M33" s="14"/>
      <c r="N33" s="14"/>
      <c r="O33" s="14"/>
      <c r="P33" s="14"/>
      <c r="Q33" s="15">
        <f t="shared" si="4"/>
        <v>2270673.75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0</v>
      </c>
      <c r="L34" s="14"/>
      <c r="M34" s="14"/>
      <c r="N34" s="14"/>
      <c r="O34" s="14"/>
      <c r="P34" s="14"/>
      <c r="Q34" s="15">
        <f t="shared" si="4"/>
        <v>116247.34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0</v>
      </c>
      <c r="L35" s="14"/>
      <c r="M35" s="14"/>
      <c r="N35" s="14"/>
      <c r="O35" s="14"/>
      <c r="P35" s="14"/>
      <c r="Q35" s="15">
        <f t="shared" si="4"/>
        <v>908575.98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56200</v>
      </c>
      <c r="L36" s="14"/>
      <c r="M36" s="14"/>
      <c r="N36" s="14"/>
      <c r="O36" s="14"/>
      <c r="P36" s="14"/>
      <c r="Q36" s="15">
        <f t="shared" si="4"/>
        <v>240334157.16999996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820763.62</v>
      </c>
      <c r="L37" s="14"/>
      <c r="M37" s="14"/>
      <c r="N37" s="14"/>
      <c r="O37" s="14"/>
      <c r="P37" s="14"/>
      <c r="Q37" s="15">
        <f t="shared" si="4"/>
        <v>12351008.83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/>
      <c r="M38" s="14"/>
      <c r="N38" s="14"/>
      <c r="O38" s="14"/>
      <c r="P38" s="14"/>
      <c r="Q38" s="15">
        <f t="shared" si="4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906667.23</v>
      </c>
      <c r="L39" s="14"/>
      <c r="M39" s="14"/>
      <c r="N39" s="14"/>
      <c r="O39" s="14"/>
      <c r="P39" s="14"/>
      <c r="Q39" s="15">
        <f t="shared" si="4"/>
        <v>15257256.76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K40" si="7">+SUM(E41:E48)</f>
        <v>0</v>
      </c>
      <c r="F40" s="11">
        <f t="shared" si="7"/>
        <v>5000000</v>
      </c>
      <c r="G40" s="11">
        <f t="shared" si="7"/>
        <v>5500000</v>
      </c>
      <c r="H40" s="11">
        <f t="shared" si="7"/>
        <v>0</v>
      </c>
      <c r="I40" s="11">
        <f t="shared" si="7"/>
        <v>5000000</v>
      </c>
      <c r="J40" s="11">
        <f t="shared" si="7"/>
        <v>0</v>
      </c>
      <c r="K40" s="11">
        <f t="shared" si="7"/>
        <v>0</v>
      </c>
      <c r="L40" s="11"/>
      <c r="M40" s="11"/>
      <c r="N40" s="11"/>
      <c r="O40" s="11"/>
      <c r="P40" s="11"/>
      <c r="Q40" s="12">
        <f t="shared" si="4"/>
        <v>15500000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/>
      <c r="M41" s="14"/>
      <c r="N41" s="14"/>
      <c r="O41" s="14"/>
      <c r="P41" s="14"/>
      <c r="Q41" s="15">
        <f t="shared" si="4"/>
        <v>15500000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/>
      <c r="M42" s="14"/>
      <c r="N42" s="14"/>
      <c r="O42" s="14"/>
      <c r="P42" s="14"/>
      <c r="Q42" s="15">
        <f t="shared" si="4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/>
      <c r="M43" s="14"/>
      <c r="N43" s="14"/>
      <c r="O43" s="14"/>
      <c r="P43" s="14"/>
      <c r="Q43" s="15">
        <f t="shared" si="4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/>
      <c r="M44" s="14"/>
      <c r="N44" s="14"/>
      <c r="O44" s="14"/>
      <c r="P44" s="14"/>
      <c r="Q44" s="15">
        <f t="shared" si="4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/>
      <c r="M45" s="14"/>
      <c r="N45" s="14"/>
      <c r="O45" s="14"/>
      <c r="P45" s="14"/>
      <c r="Q45" s="15">
        <f t="shared" si="4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/>
      <c r="M46" s="14"/>
      <c r="N46" s="14"/>
      <c r="O46" s="14"/>
      <c r="P46" s="14"/>
      <c r="Q46" s="15">
        <f t="shared" si="4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/>
      <c r="M47" s="14"/>
      <c r="N47" s="14"/>
      <c r="O47" s="14"/>
      <c r="P47" s="14"/>
      <c r="Q47" s="15">
        <f t="shared" si="4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/>
      <c r="M48" s="14"/>
      <c r="N48" s="14"/>
      <c r="O48" s="14"/>
      <c r="P48" s="14"/>
      <c r="Q48" s="15">
        <f t="shared" si="4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K49" si="8">+SUM(E50:E56)</f>
        <v>0</v>
      </c>
      <c r="F49" s="16">
        <f t="shared" si="8"/>
        <v>300000000</v>
      </c>
      <c r="G49" s="16">
        <f t="shared" si="8"/>
        <v>553513392</v>
      </c>
      <c r="H49" s="16">
        <f t="shared" si="8"/>
        <v>268916083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/>
      <c r="M49" s="16"/>
      <c r="N49" s="17"/>
      <c r="O49" s="16"/>
      <c r="P49" s="16"/>
      <c r="Q49" s="11">
        <f t="shared" si="4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8"/>
      <c r="M50" s="18"/>
      <c r="N50" s="19"/>
      <c r="O50" s="18"/>
      <c r="P50" s="18"/>
      <c r="Q50" s="14">
        <f t="shared" si="4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8"/>
      <c r="M51" s="18"/>
      <c r="N51" s="19"/>
      <c r="O51" s="18"/>
      <c r="P51" s="18"/>
      <c r="Q51" s="14">
        <f t="shared" si="4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8"/>
      <c r="M52" s="18"/>
      <c r="N52" s="19"/>
      <c r="O52" s="18"/>
      <c r="P52" s="18"/>
      <c r="Q52" s="14">
        <f t="shared" si="4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8"/>
      <c r="M53" s="18"/>
      <c r="N53" s="19"/>
      <c r="O53" s="18"/>
      <c r="P53" s="18"/>
      <c r="Q53" s="14">
        <f t="shared" si="4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8"/>
      <c r="M54" s="18"/>
      <c r="N54" s="19"/>
      <c r="O54" s="18"/>
      <c r="P54" s="18"/>
      <c r="Q54" s="14">
        <f t="shared" si="4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8"/>
      <c r="M55" s="18"/>
      <c r="N55" s="19"/>
      <c r="O55" s="18"/>
      <c r="P55" s="18"/>
      <c r="Q55" s="14">
        <f t="shared" si="4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8"/>
      <c r="M56" s="18"/>
      <c r="N56" s="19"/>
      <c r="O56" s="18"/>
      <c r="P56" s="18"/>
      <c r="Q56" s="14">
        <f t="shared" si="4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K57" si="9">+SUM(E58:E66)</f>
        <v>102908557.17</v>
      </c>
      <c r="F57" s="16">
        <f t="shared" si="9"/>
        <v>396055915.40000004</v>
      </c>
      <c r="G57" s="16">
        <f t="shared" si="9"/>
        <v>42956193.960000001</v>
      </c>
      <c r="H57" s="16">
        <f t="shared" si="9"/>
        <v>173164301.91999999</v>
      </c>
      <c r="I57" s="16">
        <f t="shared" si="9"/>
        <v>173960534.13</v>
      </c>
      <c r="J57" s="16">
        <f t="shared" si="9"/>
        <v>61305094.619999997</v>
      </c>
      <c r="K57" s="16">
        <f t="shared" si="9"/>
        <v>116676090.48000002</v>
      </c>
      <c r="L57" s="16"/>
      <c r="M57" s="16"/>
      <c r="N57" s="17"/>
      <c r="O57" s="16"/>
      <c r="P57" s="16"/>
      <c r="Q57" s="11">
        <f t="shared" si="4"/>
        <v>1067026687.6800001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9832540.3900000006</v>
      </c>
      <c r="L58" s="18"/>
      <c r="M58" s="18"/>
      <c r="N58" s="19"/>
      <c r="O58" s="18"/>
      <c r="P58" s="18"/>
      <c r="Q58" s="14">
        <f t="shared" si="4"/>
        <v>151897103.86000001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8"/>
      <c r="M59" s="18"/>
      <c r="N59" s="19"/>
      <c r="O59" s="18"/>
      <c r="P59" s="18"/>
      <c r="Q59" s="14">
        <f t="shared" si="4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8"/>
      <c r="M60" s="18"/>
      <c r="N60" s="19"/>
      <c r="O60" s="18"/>
      <c r="P60" s="18"/>
      <c r="Q60" s="14">
        <f t="shared" si="4"/>
        <v>762995050.29999995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8"/>
      <c r="M61" s="18"/>
      <c r="N61" s="19"/>
      <c r="O61" s="18"/>
      <c r="P61" s="18"/>
      <c r="Q61" s="14">
        <f t="shared" si="4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8"/>
      <c r="M62" s="18"/>
      <c r="N62" s="19"/>
      <c r="O62" s="18"/>
      <c r="P62" s="18"/>
      <c r="Q62" s="14">
        <f t="shared" si="4"/>
        <v>137511057.69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8"/>
      <c r="M63" s="18"/>
      <c r="N63" s="19"/>
      <c r="O63" s="18"/>
      <c r="P63" s="18"/>
      <c r="Q63" s="14">
        <f t="shared" si="4"/>
        <v>0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8"/>
      <c r="M64" s="18"/>
      <c r="N64" s="19"/>
      <c r="O64" s="18"/>
      <c r="P64" s="18"/>
      <c r="Q64" s="14">
        <f t="shared" si="4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8"/>
      <c r="M65" s="18"/>
      <c r="N65" s="19"/>
      <c r="O65" s="18"/>
      <c r="P65" s="18"/>
      <c r="Q65" s="14">
        <f t="shared" si="4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8"/>
      <c r="M66" s="18"/>
      <c r="N66" s="19"/>
      <c r="O66" s="18"/>
      <c r="P66" s="18"/>
      <c r="Q66" s="14">
        <f t="shared" si="4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K67" si="10">+SUM(E68:E71)</f>
        <v>290900959.35000002</v>
      </c>
      <c r="F67" s="16">
        <f t="shared" si="10"/>
        <v>578304858.13999999</v>
      </c>
      <c r="G67" s="16">
        <f t="shared" si="10"/>
        <v>368276708.09000003</v>
      </c>
      <c r="H67" s="16">
        <f t="shared" si="10"/>
        <v>1247157530.4200001</v>
      </c>
      <c r="I67" s="16">
        <f>+SUM(I68:I71)</f>
        <v>1531481866.6099999</v>
      </c>
      <c r="J67" s="16">
        <f t="shared" si="10"/>
        <v>950695211.15999997</v>
      </c>
      <c r="K67" s="16">
        <f t="shared" si="10"/>
        <v>395231503.29000002</v>
      </c>
      <c r="L67" s="16"/>
      <c r="M67" s="16"/>
      <c r="N67" s="17"/>
      <c r="O67" s="16"/>
      <c r="P67" s="16"/>
      <c r="Q67" s="11">
        <f t="shared" si="4"/>
        <v>5362048637.0599995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191544606.36000001</v>
      </c>
      <c r="L68" s="18"/>
      <c r="M68" s="18"/>
      <c r="N68" s="19"/>
      <c r="O68" s="18"/>
      <c r="P68" s="18"/>
      <c r="Q68" s="14">
        <f t="shared" si="4"/>
        <v>4691221259.2199993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8"/>
      <c r="M69" s="18"/>
      <c r="N69" s="19"/>
      <c r="O69" s="18"/>
      <c r="P69" s="18"/>
      <c r="Q69" s="14">
        <f t="shared" si="4"/>
        <v>670827377.83999991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8"/>
      <c r="M70" s="18"/>
      <c r="N70" s="19"/>
      <c r="O70" s="18"/>
      <c r="P70" s="18"/>
      <c r="Q70" s="14">
        <f t="shared" si="4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8"/>
      <c r="M71" s="18"/>
      <c r="N71" s="19"/>
      <c r="O71" s="18"/>
      <c r="P71" s="18"/>
      <c r="Q71" s="14">
        <f t="shared" si="4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/>
      <c r="J72" s="16"/>
      <c r="K72" s="17"/>
      <c r="L72" s="16"/>
      <c r="M72" s="16"/>
      <c r="N72" s="17"/>
      <c r="O72" s="16"/>
      <c r="P72" s="16"/>
      <c r="Q72" s="11">
        <f t="shared" si="4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8"/>
      <c r="M73" s="18"/>
      <c r="N73" s="19"/>
      <c r="O73" s="18"/>
      <c r="P73" s="18"/>
      <c r="Q73" s="14">
        <f t="shared" si="4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8"/>
      <c r="M74" s="18"/>
      <c r="N74" s="19"/>
      <c r="O74" s="18"/>
      <c r="P74" s="18"/>
      <c r="Q74" s="14">
        <f t="shared" si="4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8"/>
      <c r="M75" s="18"/>
      <c r="N75" s="19"/>
      <c r="O75" s="18"/>
      <c r="P75" s="18"/>
      <c r="Q75" s="14">
        <f t="shared" si="4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8"/>
      <c r="M76" s="18"/>
      <c r="N76" s="19"/>
      <c r="O76" s="18"/>
      <c r="P76" s="18"/>
      <c r="Q76" s="14">
        <f t="shared" si="4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8"/>
      <c r="M77" s="18"/>
      <c r="N77" s="19"/>
      <c r="O77" s="18"/>
      <c r="P77" s="18"/>
      <c r="Q77" s="14">
        <f t="shared" si="4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/>
      <c r="J78" s="16"/>
      <c r="K78" s="17"/>
      <c r="L78" s="16"/>
      <c r="M78" s="16"/>
      <c r="N78" s="17"/>
      <c r="O78" s="16"/>
      <c r="P78" s="16"/>
      <c r="Q78" s="11">
        <f t="shared" ref="Q78:Q92" si="11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8"/>
      <c r="M79" s="18"/>
      <c r="N79" s="19"/>
      <c r="O79" s="18"/>
      <c r="P79" s="18"/>
      <c r="Q79" s="14">
        <f t="shared" si="11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8"/>
      <c r="M80" s="18"/>
      <c r="N80" s="19"/>
      <c r="O80" s="18"/>
      <c r="P80" s="18"/>
      <c r="Q80" s="14">
        <f t="shared" si="11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8"/>
      <c r="M81" s="18"/>
      <c r="N81" s="19"/>
      <c r="O81" s="18"/>
      <c r="P81" s="18"/>
      <c r="Q81" s="14">
        <f t="shared" si="11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8"/>
      <c r="M82" s="18"/>
      <c r="N82" s="19"/>
      <c r="O82" s="18"/>
      <c r="P82" s="18"/>
      <c r="Q82" s="14">
        <f t="shared" si="11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8"/>
      <c r="M83" s="18"/>
      <c r="N83" s="19"/>
      <c r="O83" s="18"/>
      <c r="P83" s="18"/>
      <c r="Q83" s="14">
        <f t="shared" si="11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/>
      <c r="J84" s="9"/>
      <c r="K84" s="20"/>
      <c r="L84" s="9"/>
      <c r="M84" s="9"/>
      <c r="N84" s="20"/>
      <c r="O84" s="9"/>
      <c r="P84" s="9"/>
      <c r="Q84" s="8">
        <f t="shared" si="11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/>
      <c r="J85" s="16"/>
      <c r="K85" s="17"/>
      <c r="L85" s="16"/>
      <c r="M85" s="16"/>
      <c r="N85" s="17"/>
      <c r="O85" s="16"/>
      <c r="P85" s="16"/>
      <c r="Q85" s="11">
        <f t="shared" si="11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8"/>
      <c r="M86" s="18"/>
      <c r="N86" s="19"/>
      <c r="O86" s="18"/>
      <c r="P86" s="18"/>
      <c r="Q86" s="14">
        <f t="shared" si="11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8"/>
      <c r="M87" s="18"/>
      <c r="N87" s="19"/>
      <c r="O87" s="18"/>
      <c r="P87" s="18"/>
      <c r="Q87" s="14">
        <f t="shared" si="11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/>
      <c r="J88" s="16"/>
      <c r="K88" s="17"/>
      <c r="L88" s="16"/>
      <c r="M88" s="16"/>
      <c r="N88" s="17"/>
      <c r="O88" s="16"/>
      <c r="P88" s="16"/>
      <c r="Q88" s="11">
        <f t="shared" si="11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8"/>
      <c r="M89" s="18"/>
      <c r="N89" s="19"/>
      <c r="O89" s="18"/>
      <c r="P89" s="18"/>
      <c r="Q89" s="14">
        <f t="shared" si="11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8"/>
      <c r="M90" s="18"/>
      <c r="N90" s="19"/>
      <c r="O90" s="18"/>
      <c r="P90" s="18"/>
      <c r="Q90" s="14">
        <f t="shared" si="11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/>
      <c r="J91" s="16"/>
      <c r="K91" s="17"/>
      <c r="L91" s="16"/>
      <c r="M91" s="16"/>
      <c r="N91" s="17"/>
      <c r="O91" s="16"/>
      <c r="P91" s="16"/>
      <c r="Q91" s="11">
        <f t="shared" si="11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1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2">+E13</f>
        <v>559848065.21000004</v>
      </c>
      <c r="F93" s="23">
        <f t="shared" si="12"/>
        <v>1585230502.4400001</v>
      </c>
      <c r="G93" s="23">
        <f t="shared" si="12"/>
        <v>1239297640.0700002</v>
      </c>
      <c r="H93" s="23">
        <f t="shared" si="12"/>
        <v>1977861555.3099999</v>
      </c>
      <c r="I93" s="23">
        <f t="shared" si="12"/>
        <v>2101264526.0599999</v>
      </c>
      <c r="J93" s="23">
        <f t="shared" si="12"/>
        <v>1360547422.3</v>
      </c>
      <c r="K93" s="22">
        <f t="shared" si="12"/>
        <v>707715566.47000003</v>
      </c>
      <c r="L93" s="23">
        <f t="shared" si="12"/>
        <v>0</v>
      </c>
      <c r="M93" s="23">
        <f t="shared" si="12"/>
        <v>0</v>
      </c>
      <c r="N93" s="22">
        <f t="shared" si="12"/>
        <v>0</v>
      </c>
      <c r="O93" s="23">
        <f t="shared" si="12"/>
        <v>0</v>
      </c>
      <c r="P93" s="23">
        <f t="shared" si="12"/>
        <v>0</v>
      </c>
      <c r="Q93" s="22">
        <f t="shared" ref="Q93" si="13">SUM(E93:P93)</f>
        <v>9531765277.8599987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AC2B-77EA-4F98-83CC-902DC2352807}">
  <sheetPr>
    <pageSetUpPr fitToPage="1"/>
  </sheetPr>
  <dimension ref="B4:Q99"/>
  <sheetViews>
    <sheetView showGridLines="0" topLeftCell="B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12.140625" hidden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L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1067405251.24</v>
      </c>
      <c r="M13" s="8"/>
      <c r="N13" s="8"/>
      <c r="O13" s="8"/>
      <c r="P13" s="8"/>
      <c r="Q13" s="9">
        <f>+SUM(E13:P13)</f>
        <v>10602133129.98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>
        <f t="shared" ref="K14:L14" si="2">+SUM(K15:K19)</f>
        <v>131029669.94</v>
      </c>
      <c r="L14" s="11">
        <f t="shared" si="2"/>
        <v>134019810.36</v>
      </c>
      <c r="M14" s="11"/>
      <c r="N14" s="11"/>
      <c r="O14" s="11"/>
      <c r="P14" s="11"/>
      <c r="Q14" s="12">
        <f t="shared" ref="Q14:Q77" si="3">+SUM(E14:P14)</f>
        <v>1126313689.78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f>+VLOOKUP(B15,[5]RefCCPCuenta!$B$9:$K$47,10,FALSE)</f>
        <v>110350137.19</v>
      </c>
      <c r="M15" s="14"/>
      <c r="N15" s="14"/>
      <c r="O15" s="14"/>
      <c r="P15" s="14"/>
      <c r="Q15" s="15">
        <f t="shared" si="3"/>
        <v>863220883.84000015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f>+VLOOKUP(B16,[5]RefCCPCuenta!$B$9:$K$47,10,FALSE)</f>
        <v>6997000</v>
      </c>
      <c r="M16" s="14"/>
      <c r="N16" s="14"/>
      <c r="O16" s="14"/>
      <c r="P16" s="14"/>
      <c r="Q16" s="15">
        <f t="shared" si="3"/>
        <v>133967088.28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f>+VLOOKUP(B17,[5]RefCCPCuenta!$B$9:$K$47,10,FALSE)</f>
        <v>0</v>
      </c>
      <c r="M17" s="14"/>
      <c r="N17" s="14"/>
      <c r="O17" s="14"/>
      <c r="P17" s="14"/>
      <c r="Q17" s="15">
        <f t="shared" si="3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/>
      <c r="N18" s="14"/>
      <c r="O18" s="14"/>
      <c r="P18" s="14"/>
      <c r="Q18" s="15">
        <f t="shared" si="3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f>+VLOOKUP(B19,[5]RefCCPCuenta!$B$9:$K$47,10,FALSE)</f>
        <v>16672673.17</v>
      </c>
      <c r="M19" s="14"/>
      <c r="N19" s="14"/>
      <c r="O19" s="14"/>
      <c r="P19" s="14"/>
      <c r="Q19" s="15">
        <f t="shared" si="3"/>
        <v>129125717.66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4">+SUM(E21:E29)</f>
        <v>40556595.619999997</v>
      </c>
      <c r="F20" s="11">
        <f t="shared" si="4"/>
        <v>91554973.600000009</v>
      </c>
      <c r="G20" s="11">
        <f t="shared" si="4"/>
        <v>57668012.760000005</v>
      </c>
      <c r="H20" s="11">
        <f t="shared" si="4"/>
        <v>113928389.41</v>
      </c>
      <c r="I20" s="11">
        <f t="shared" si="4"/>
        <v>86679827.090000004</v>
      </c>
      <c r="J20" s="11">
        <f t="shared" si="4"/>
        <v>138000426.12</v>
      </c>
      <c r="K20" s="11">
        <f t="shared" si="4"/>
        <v>64621000.839999996</v>
      </c>
      <c r="L20" s="11">
        <f>+SUM(L21:L29)</f>
        <v>23721862.889999997</v>
      </c>
      <c r="M20" s="11"/>
      <c r="N20" s="11"/>
      <c r="O20" s="11"/>
      <c r="P20" s="11"/>
      <c r="Q20" s="12">
        <f t="shared" si="3"/>
        <v>616731088.33000004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f>+VLOOKUP(B21,[5]RefCCPCuenta!$B$9:$K$47,10,FALSE)</f>
        <v>3517859.19</v>
      </c>
      <c r="M21" s="14"/>
      <c r="N21" s="14"/>
      <c r="O21" s="14"/>
      <c r="P21" s="14"/>
      <c r="Q21" s="15">
        <f t="shared" si="3"/>
        <v>25697116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f>+VLOOKUP(B22,[5]RefCCPCuenta!$B$9:$K$47,10,FALSE)</f>
        <v>1295000</v>
      </c>
      <c r="M22" s="14"/>
      <c r="N22" s="14"/>
      <c r="O22" s="14"/>
      <c r="P22" s="14"/>
      <c r="Q22" s="15">
        <f t="shared" si="3"/>
        <v>110005504.46000001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f>+VLOOKUP(B23,[5]RefCCPCuenta!$B$9:$K$47,10,FALSE)</f>
        <v>2282810.3199999998</v>
      </c>
      <c r="M23" s="14"/>
      <c r="N23" s="14"/>
      <c r="O23" s="14"/>
      <c r="P23" s="14"/>
      <c r="Q23" s="15">
        <f t="shared" si="3"/>
        <v>21659923.939999998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f>+VLOOKUP(B24,[5]RefCCPCuenta!$B$9:$K$47,10,FALSE)</f>
        <v>177500</v>
      </c>
      <c r="M24" s="14"/>
      <c r="N24" s="14"/>
      <c r="O24" s="14"/>
      <c r="P24" s="14"/>
      <c r="Q24" s="15">
        <f t="shared" si="3"/>
        <v>37190685.990000002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f>+VLOOKUP(B25,[5]RefCCPCuenta!$B$9:$K$47,10,FALSE)</f>
        <v>4591053.7300000004</v>
      </c>
      <c r="M25" s="14"/>
      <c r="N25" s="14"/>
      <c r="O25" s="14"/>
      <c r="P25" s="14"/>
      <c r="Q25" s="15">
        <f t="shared" si="3"/>
        <v>101725100.52000001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f>+VLOOKUP(B26,[5]RefCCPCuenta!$B$9:$K$47,10,FALSE)</f>
        <v>3880540.55</v>
      </c>
      <c r="M26" s="14"/>
      <c r="N26" s="14"/>
      <c r="O26" s="14"/>
      <c r="P26" s="14"/>
      <c r="Q26" s="15">
        <f t="shared" si="3"/>
        <v>52616914.889999993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f>+VLOOKUP(B27,[5]RefCCPCuenta!$B$9:$K$47,10,FALSE)</f>
        <v>1129935.56</v>
      </c>
      <c r="M27" s="14"/>
      <c r="N27" s="14"/>
      <c r="O27" s="14"/>
      <c r="P27" s="14"/>
      <c r="Q27" s="15">
        <f t="shared" si="3"/>
        <v>13282360.990000002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f>+VLOOKUP(B28,[5]RefCCPCuenta!$B$9:$K$47,10,FALSE)</f>
        <v>3796758.88</v>
      </c>
      <c r="M28" s="14"/>
      <c r="N28" s="14"/>
      <c r="O28" s="14"/>
      <c r="P28" s="14"/>
      <c r="Q28" s="15">
        <f t="shared" si="3"/>
        <v>223727153.71999997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f>+VLOOKUP(B29,[5]RefCCPCuenta!$B$9:$K$47,10,FALSE)</f>
        <v>3050404.66</v>
      </c>
      <c r="M29" s="14"/>
      <c r="N29" s="14"/>
      <c r="O29" s="14"/>
      <c r="P29" s="14"/>
      <c r="Q29" s="15">
        <f t="shared" si="3"/>
        <v>30826327.820000004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5">+SUM(E31:E39)</f>
        <v>3027970.37</v>
      </c>
      <c r="F30" s="11">
        <f t="shared" si="5"/>
        <v>86053694.749999985</v>
      </c>
      <c r="G30" s="11">
        <f t="shared" si="5"/>
        <v>77158710.769999996</v>
      </c>
      <c r="H30" s="11">
        <f t="shared" si="5"/>
        <v>44307623.410000004</v>
      </c>
      <c r="I30" s="11">
        <f t="shared" si="5"/>
        <v>89385847.239999995</v>
      </c>
      <c r="J30" s="11">
        <f t="shared" si="5"/>
        <v>79366224.799999997</v>
      </c>
      <c r="K30" s="11">
        <f t="shared" si="5"/>
        <v>4076391.0599999996</v>
      </c>
      <c r="L30" s="11">
        <f>+SUM(L31:L39)</f>
        <v>27742239.680000003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2">
        <f t="shared" si="3"/>
        <v>411118702.07999998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f>+VLOOKUP(B31,[5]RefCCPCuenta!$B$9:$K$47,10,FALSE)</f>
        <v>182790</v>
      </c>
      <c r="M31" s="14"/>
      <c r="N31" s="14"/>
      <c r="O31" s="14"/>
      <c r="P31" s="14"/>
      <c r="Q31" s="15">
        <f t="shared" si="3"/>
        <v>108843356.76000002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f>+VLOOKUP(B32,[5]RefCCPCuenta!$B$9:$K$47,10,FALSE)</f>
        <v>1448739.1</v>
      </c>
      <c r="M32" s="14"/>
      <c r="N32" s="14"/>
      <c r="O32" s="14"/>
      <c r="P32" s="14"/>
      <c r="Q32" s="15">
        <f t="shared" si="3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f>+VLOOKUP(B33,[5]RefCCPCuenta!$B$9:$K$47,10,FALSE)</f>
        <v>0</v>
      </c>
      <c r="M33" s="14"/>
      <c r="N33" s="14"/>
      <c r="O33" s="14"/>
      <c r="P33" s="14"/>
      <c r="Q33" s="15">
        <f t="shared" si="3"/>
        <v>2282213.4300000002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f>+VLOOKUP(B34,[5]RefCCPCuenta!$B$9:$K$47,10,FALSE)</f>
        <v>0</v>
      </c>
      <c r="M34" s="14"/>
      <c r="N34" s="14"/>
      <c r="O34" s="14"/>
      <c r="P34" s="14"/>
      <c r="Q34" s="15">
        <f t="shared" si="3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f>+VLOOKUP(B35,[5]RefCCPCuenta!$B$9:$K$47,10,FALSE)</f>
        <v>232460</v>
      </c>
      <c r="M35" s="14"/>
      <c r="N35" s="14"/>
      <c r="O35" s="14"/>
      <c r="P35" s="14"/>
      <c r="Q35" s="15">
        <f t="shared" si="3"/>
        <v>1193506.6200000001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f>+VLOOKUP(B36,[5]RefCCPCuenta!$B$9:$K$47,10,FALSE)</f>
        <v>24067470.73</v>
      </c>
      <c r="M36" s="14"/>
      <c r="N36" s="14"/>
      <c r="O36" s="14"/>
      <c r="P36" s="14"/>
      <c r="Q36" s="15">
        <f t="shared" si="3"/>
        <v>264459538.30999994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f>+VLOOKUP(B37,[5]RefCCPCuenta!$B$9:$K$47,10,FALSE)</f>
        <v>1068769.9099999999</v>
      </c>
      <c r="M37" s="14"/>
      <c r="N37" s="14"/>
      <c r="O37" s="14"/>
      <c r="P37" s="14"/>
      <c r="Q37" s="15">
        <f t="shared" si="3"/>
        <v>13439867.340000002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14"/>
      <c r="P38" s="14"/>
      <c r="Q38" s="15">
        <f t="shared" si="3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f>+VLOOKUP(B39,[5]RefCCPCuenta!$B$9:$K$47,10,FALSE)</f>
        <v>742009.94</v>
      </c>
      <c r="M39" s="14"/>
      <c r="N39" s="14"/>
      <c r="O39" s="14"/>
      <c r="P39" s="14"/>
      <c r="Q39" s="15">
        <f t="shared" si="3"/>
        <v>16241769.189999999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L40" si="6">+SUM(E41:E48)</f>
        <v>0</v>
      </c>
      <c r="F40" s="11">
        <f t="shared" si="6"/>
        <v>5000000</v>
      </c>
      <c r="G40" s="11">
        <f t="shared" si="6"/>
        <v>5500000</v>
      </c>
      <c r="H40" s="11">
        <f t="shared" si="6"/>
        <v>0</v>
      </c>
      <c r="I40" s="11">
        <f t="shared" si="6"/>
        <v>5000000</v>
      </c>
      <c r="J40" s="11">
        <f t="shared" si="6"/>
        <v>0</v>
      </c>
      <c r="K40" s="11">
        <f t="shared" si="6"/>
        <v>0</v>
      </c>
      <c r="L40" s="11">
        <f t="shared" si="6"/>
        <v>7500000</v>
      </c>
      <c r="M40" s="11"/>
      <c r="N40" s="11"/>
      <c r="O40" s="11"/>
      <c r="P40" s="11"/>
      <c r="Q40" s="12">
        <f t="shared" si="3"/>
        <v>23000000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f>+VLOOKUP(B41,[5]RefCCPCuenta!$B$9:$K$47,10,FALSE)</f>
        <v>7500000</v>
      </c>
      <c r="M41" s="14"/>
      <c r="N41" s="14"/>
      <c r="O41" s="14"/>
      <c r="P41" s="14"/>
      <c r="Q41" s="15">
        <f t="shared" si="3"/>
        <v>23000000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/>
      <c r="N42" s="14"/>
      <c r="O42" s="14"/>
      <c r="P42" s="14"/>
      <c r="Q42" s="15">
        <f t="shared" si="3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/>
      <c r="N43" s="14"/>
      <c r="O43" s="14"/>
      <c r="P43" s="14"/>
      <c r="Q43" s="15">
        <f t="shared" si="3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/>
      <c r="N44" s="14"/>
      <c r="O44" s="14"/>
      <c r="P44" s="14"/>
      <c r="Q44" s="15">
        <f t="shared" si="3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N45" s="14"/>
      <c r="O45" s="14"/>
      <c r="P45" s="14"/>
      <c r="Q45" s="15">
        <f t="shared" si="3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/>
      <c r="Q46" s="15">
        <f t="shared" si="3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/>
      <c r="Q47" s="15">
        <f t="shared" si="3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N48" s="14"/>
      <c r="O48" s="14"/>
      <c r="P48" s="14"/>
      <c r="Q48" s="15">
        <f t="shared" si="3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L49" si="7">+SUM(E50:E56)</f>
        <v>0</v>
      </c>
      <c r="F49" s="16">
        <f t="shared" si="7"/>
        <v>300000000</v>
      </c>
      <c r="G49" s="16">
        <f t="shared" si="7"/>
        <v>553513392</v>
      </c>
      <c r="H49" s="16">
        <f t="shared" si="7"/>
        <v>268916083</v>
      </c>
      <c r="I49" s="16">
        <f t="shared" si="7"/>
        <v>0</v>
      </c>
      <c r="J49" s="16">
        <f t="shared" si="7"/>
        <v>0</v>
      </c>
      <c r="K49" s="16">
        <f t="shared" si="7"/>
        <v>0</v>
      </c>
      <c r="L49" s="16">
        <f t="shared" si="7"/>
        <v>0</v>
      </c>
      <c r="M49" s="16"/>
      <c r="N49" s="17"/>
      <c r="O49" s="16"/>
      <c r="P49" s="16"/>
      <c r="Q49" s="11">
        <f t="shared" si="3"/>
        <v>1122429475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8"/>
      <c r="N50" s="19"/>
      <c r="O50" s="18"/>
      <c r="P50" s="18"/>
      <c r="Q50" s="14">
        <f t="shared" si="3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8"/>
      <c r="N51" s="19"/>
      <c r="O51" s="18"/>
      <c r="P51" s="18"/>
      <c r="Q51" s="14">
        <f t="shared" si="3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8"/>
      <c r="N52" s="19"/>
      <c r="O52" s="18"/>
      <c r="P52" s="18"/>
      <c r="Q52" s="14">
        <f t="shared" si="3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8"/>
      <c r="N53" s="19"/>
      <c r="O53" s="18"/>
      <c r="P53" s="18"/>
      <c r="Q53" s="14">
        <f t="shared" si="3"/>
        <v>1122429475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8"/>
      <c r="N54" s="19"/>
      <c r="O54" s="18"/>
      <c r="P54" s="18"/>
      <c r="Q54" s="14">
        <f t="shared" si="3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8"/>
      <c r="N55" s="19"/>
      <c r="O55" s="18"/>
      <c r="P55" s="18"/>
      <c r="Q55" s="14">
        <f t="shared" si="3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8"/>
      <c r="N56" s="19"/>
      <c r="O56" s="18"/>
      <c r="P56" s="18"/>
      <c r="Q56" s="14">
        <f t="shared" si="3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8">+SUM(E58:E66)</f>
        <v>102908557.17</v>
      </c>
      <c r="F57" s="16">
        <f t="shared" si="8"/>
        <v>396055915.40000004</v>
      </c>
      <c r="G57" s="16">
        <f t="shared" si="8"/>
        <v>42956193.960000001</v>
      </c>
      <c r="H57" s="16">
        <f t="shared" si="8"/>
        <v>173164301.91999999</v>
      </c>
      <c r="I57" s="16">
        <f t="shared" si="8"/>
        <v>173960534.13</v>
      </c>
      <c r="J57" s="16">
        <f t="shared" si="8"/>
        <v>61305094.619999997</v>
      </c>
      <c r="K57" s="16">
        <f t="shared" si="8"/>
        <v>116729246.48000002</v>
      </c>
      <c r="L57" s="16">
        <f t="shared" si="8"/>
        <v>70362331.329999998</v>
      </c>
      <c r="M57" s="16">
        <f t="shared" si="8"/>
        <v>0</v>
      </c>
      <c r="N57" s="16">
        <f t="shared" si="8"/>
        <v>0</v>
      </c>
      <c r="O57" s="16">
        <f t="shared" si="8"/>
        <v>0</v>
      </c>
      <c r="P57" s="16">
        <f t="shared" si="8"/>
        <v>0</v>
      </c>
      <c r="Q57" s="11">
        <f t="shared" si="3"/>
        <v>1137442175.01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f>+VLOOKUP(B58,[5]RefCCPCuenta!$B$9:$K$47,10,FALSE)</f>
        <v>28799.98</v>
      </c>
      <c r="M58" s="18"/>
      <c r="N58" s="19"/>
      <c r="O58" s="18"/>
      <c r="P58" s="18"/>
      <c r="Q58" s="14">
        <f t="shared" si="3"/>
        <v>151979059.84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f>+VLOOKUP(B59,[5]RefCCPCuenta!$B$9:$K$47,10,FALSE)</f>
        <v>0</v>
      </c>
      <c r="M59" s="18"/>
      <c r="N59" s="19"/>
      <c r="O59" s="18"/>
      <c r="P59" s="18"/>
      <c r="Q59" s="14">
        <f t="shared" si="3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f>+VLOOKUP(B60,[5]RefCCPCuenta!$B$9:$K$47,10,FALSE)</f>
        <v>58316075.950000003</v>
      </c>
      <c r="M60" s="18"/>
      <c r="N60" s="19"/>
      <c r="O60" s="18"/>
      <c r="P60" s="18"/>
      <c r="Q60" s="14">
        <f t="shared" si="3"/>
        <v>821311126.25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f>+VLOOKUP(B61,[5]RefCCPCuenta!$B$9:$K$47,10,FALSE)</f>
        <v>0</v>
      </c>
      <c r="M61" s="18"/>
      <c r="N61" s="19"/>
      <c r="O61" s="18"/>
      <c r="P61" s="18"/>
      <c r="Q61" s="14">
        <f t="shared" si="3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f>+VLOOKUP(B62,[5]RefCCPCuenta!$B$9:$K$47,10,FALSE)</f>
        <v>10826919.18</v>
      </c>
      <c r="M62" s="18"/>
      <c r="N62" s="19"/>
      <c r="O62" s="18"/>
      <c r="P62" s="18"/>
      <c r="Q62" s="14">
        <f t="shared" si="3"/>
        <v>148337976.87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f>+VLOOKUP(B63,[5]RefCCPCuenta!$B$9:$K$47,10,FALSE)</f>
        <v>1190536.22</v>
      </c>
      <c r="M63" s="18"/>
      <c r="N63" s="19"/>
      <c r="O63" s="18"/>
      <c r="P63" s="18"/>
      <c r="Q63" s="14">
        <f t="shared" si="3"/>
        <v>1190536.22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8"/>
      <c r="N64" s="19"/>
      <c r="O64" s="18"/>
      <c r="P64" s="18"/>
      <c r="Q64" s="14">
        <f t="shared" si="3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f>+VLOOKUP(B65,[5]RefCCPCuenta!$B$9:$K$47,10,FALSE)</f>
        <v>0</v>
      </c>
      <c r="M65" s="18"/>
      <c r="N65" s="19"/>
      <c r="O65" s="18"/>
      <c r="P65" s="18"/>
      <c r="Q65" s="14">
        <f t="shared" si="3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f>+VLOOKUP(B66,[5]RefCCPCuenta!$B$9:$K$47,10,FALSE)</f>
        <v>0</v>
      </c>
      <c r="M66" s="18"/>
      <c r="N66" s="19"/>
      <c r="O66" s="18"/>
      <c r="P66" s="18"/>
      <c r="Q66" s="14">
        <f t="shared" si="3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L67" si="9">+SUM(E68:E71)</f>
        <v>290900959.35000002</v>
      </c>
      <c r="F67" s="16">
        <f t="shared" si="9"/>
        <v>578304858.13999999</v>
      </c>
      <c r="G67" s="16">
        <f t="shared" si="9"/>
        <v>368276708.09000003</v>
      </c>
      <c r="H67" s="16">
        <f t="shared" si="9"/>
        <v>1247157530.4200001</v>
      </c>
      <c r="I67" s="16">
        <f>+SUM(I68:I71)</f>
        <v>1531481866.6099999</v>
      </c>
      <c r="J67" s="16">
        <f t="shared" si="9"/>
        <v>950695211.15999997</v>
      </c>
      <c r="K67" s="16">
        <f t="shared" si="9"/>
        <v>394221859.02999997</v>
      </c>
      <c r="L67" s="16">
        <f t="shared" si="9"/>
        <v>804059006.98000002</v>
      </c>
      <c r="M67" s="16"/>
      <c r="N67" s="17"/>
      <c r="O67" s="16"/>
      <c r="P67" s="16"/>
      <c r="Q67" s="11">
        <f t="shared" si="3"/>
        <v>6165097999.7799988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f>+VLOOKUP(B68,[5]RefCCPCuenta!$B$9:$K$47,10,FALSE)</f>
        <v>739472534.86000001</v>
      </c>
      <c r="M68" s="18"/>
      <c r="N68" s="19"/>
      <c r="O68" s="18"/>
      <c r="P68" s="18"/>
      <c r="Q68" s="14">
        <f t="shared" si="3"/>
        <v>5429684149.8199997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f>+VLOOKUP(B69,[5]RefCCPCuenta!$B$9:$K$47,10,FALSE)</f>
        <v>64586472.119999997</v>
      </c>
      <c r="M69" s="18"/>
      <c r="N69" s="19"/>
      <c r="O69" s="18"/>
      <c r="P69" s="18"/>
      <c r="Q69" s="14">
        <f t="shared" si="3"/>
        <v>735413849.95999992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8"/>
      <c r="N70" s="19"/>
      <c r="O70" s="18"/>
      <c r="P70" s="18"/>
      <c r="Q70" s="14">
        <f t="shared" si="3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8"/>
      <c r="N71" s="19"/>
      <c r="O71" s="18"/>
      <c r="P71" s="18"/>
      <c r="Q71" s="14">
        <f t="shared" si="3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0">+SUM(I73:I77)</f>
        <v>0</v>
      </c>
      <c r="J72" s="16">
        <f t="shared" si="10"/>
        <v>0</v>
      </c>
      <c r="K72" s="16">
        <f t="shared" si="10"/>
        <v>0</v>
      </c>
      <c r="L72" s="16">
        <f t="shared" si="10"/>
        <v>0</v>
      </c>
      <c r="M72" s="16">
        <f t="shared" si="10"/>
        <v>0</v>
      </c>
      <c r="N72" s="16">
        <f t="shared" si="10"/>
        <v>0</v>
      </c>
      <c r="O72" s="16">
        <f t="shared" si="10"/>
        <v>0</v>
      </c>
      <c r="P72" s="16">
        <f t="shared" si="10"/>
        <v>0</v>
      </c>
      <c r="Q72" s="11">
        <f t="shared" si="3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8"/>
      <c r="N73" s="19"/>
      <c r="O73" s="18"/>
      <c r="P73" s="18"/>
      <c r="Q73" s="14">
        <f t="shared" si="3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8"/>
      <c r="N74" s="19"/>
      <c r="O74" s="18"/>
      <c r="P74" s="18"/>
      <c r="Q74" s="14">
        <f t="shared" si="3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8"/>
      <c r="N75" s="19"/>
      <c r="O75" s="18"/>
      <c r="P75" s="18"/>
      <c r="Q75" s="14">
        <f t="shared" si="3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8"/>
      <c r="N76" s="19"/>
      <c r="O76" s="18"/>
      <c r="P76" s="18"/>
      <c r="Q76" s="14">
        <f t="shared" si="3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8"/>
      <c r="N77" s="19"/>
      <c r="O77" s="18"/>
      <c r="P77" s="18"/>
      <c r="Q77" s="14">
        <f t="shared" si="3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L78" si="11">+SUM(I79:I83)</f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/>
      <c r="N78" s="17"/>
      <c r="O78" s="16"/>
      <c r="P78" s="16"/>
      <c r="Q78" s="11">
        <f t="shared" ref="Q78:Q92" si="12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8"/>
      <c r="N79" s="19"/>
      <c r="O79" s="18"/>
      <c r="P79" s="18"/>
      <c r="Q79" s="14">
        <f t="shared" si="12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8"/>
      <c r="N80" s="19"/>
      <c r="O80" s="18"/>
      <c r="P80" s="18"/>
      <c r="Q80" s="14">
        <f t="shared" si="12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8"/>
      <c r="N81" s="19"/>
      <c r="O81" s="18"/>
      <c r="P81" s="18"/>
      <c r="Q81" s="14">
        <f t="shared" si="12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8"/>
      <c r="N82" s="19"/>
      <c r="O82" s="18"/>
      <c r="P82" s="18"/>
      <c r="Q82" s="14">
        <f t="shared" si="12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8"/>
      <c r="N83" s="19"/>
      <c r="O83" s="18"/>
      <c r="P83" s="18"/>
      <c r="Q83" s="14">
        <f t="shared" si="12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L84" si="13">+I85+I88+I91</f>
        <v>0</v>
      </c>
      <c r="J84" s="9">
        <f t="shared" si="13"/>
        <v>0</v>
      </c>
      <c r="K84" s="9">
        <f t="shared" si="13"/>
        <v>0</v>
      </c>
      <c r="L84" s="9">
        <f t="shared" si="13"/>
        <v>0</v>
      </c>
      <c r="M84" s="9"/>
      <c r="N84" s="20"/>
      <c r="O84" s="9"/>
      <c r="P84" s="9"/>
      <c r="Q84" s="8">
        <f t="shared" si="12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L85" si="14">+SUM(I86:I87)</f>
        <v>0</v>
      </c>
      <c r="J85" s="16">
        <f t="shared" si="14"/>
        <v>0</v>
      </c>
      <c r="K85" s="16">
        <f t="shared" si="14"/>
        <v>0</v>
      </c>
      <c r="L85" s="16">
        <f t="shared" si="14"/>
        <v>0</v>
      </c>
      <c r="M85" s="16"/>
      <c r="N85" s="17"/>
      <c r="O85" s="16"/>
      <c r="P85" s="16"/>
      <c r="Q85" s="11">
        <f t="shared" si="12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8"/>
      <c r="N86" s="19"/>
      <c r="O86" s="18"/>
      <c r="P86" s="18"/>
      <c r="Q86" s="14">
        <f t="shared" si="12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8"/>
      <c r="N87" s="19"/>
      <c r="O87" s="18"/>
      <c r="P87" s="18"/>
      <c r="Q87" s="14">
        <f t="shared" si="12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5">+SUM(I89:I90)</f>
        <v>0</v>
      </c>
      <c r="J88" s="16">
        <f t="shared" si="15"/>
        <v>0</v>
      </c>
      <c r="K88" s="16">
        <f t="shared" si="15"/>
        <v>0</v>
      </c>
      <c r="L88" s="16">
        <f t="shared" si="15"/>
        <v>0</v>
      </c>
      <c r="M88" s="16">
        <f t="shared" si="15"/>
        <v>0</v>
      </c>
      <c r="N88" s="16">
        <f t="shared" si="15"/>
        <v>0</v>
      </c>
      <c r="O88" s="16">
        <f t="shared" si="15"/>
        <v>0</v>
      </c>
      <c r="P88" s="16">
        <f t="shared" si="15"/>
        <v>0</v>
      </c>
      <c r="Q88" s="11">
        <f t="shared" si="12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8"/>
      <c r="N89" s="19"/>
      <c r="O89" s="18"/>
      <c r="P89" s="18"/>
      <c r="Q89" s="14">
        <f t="shared" si="12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8"/>
      <c r="N90" s="19"/>
      <c r="O90" s="18"/>
      <c r="P90" s="18"/>
      <c r="Q90" s="14">
        <f t="shared" si="12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L91" si="16">+SUM(I92)</f>
        <v>0</v>
      </c>
      <c r="J91" s="16">
        <f t="shared" si="16"/>
        <v>0</v>
      </c>
      <c r="K91" s="16">
        <f t="shared" si="16"/>
        <v>0</v>
      </c>
      <c r="L91" s="16">
        <f t="shared" si="16"/>
        <v>0</v>
      </c>
      <c r="M91" s="16"/>
      <c r="N91" s="17"/>
      <c r="O91" s="16"/>
      <c r="P91" s="16"/>
      <c r="Q91" s="11">
        <f t="shared" si="12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2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7">+E13</f>
        <v>559848065.21000004</v>
      </c>
      <c r="F93" s="23">
        <f t="shared" si="17"/>
        <v>1585230502.4400001</v>
      </c>
      <c r="G93" s="23">
        <f t="shared" si="17"/>
        <v>1239297640.0700002</v>
      </c>
      <c r="H93" s="23">
        <f t="shared" si="17"/>
        <v>1977861555.3099999</v>
      </c>
      <c r="I93" s="23">
        <f t="shared" si="17"/>
        <v>2101264526.0599999</v>
      </c>
      <c r="J93" s="23">
        <f t="shared" si="17"/>
        <v>1360547422.3</v>
      </c>
      <c r="K93" s="22">
        <f t="shared" si="17"/>
        <v>710678167.35000002</v>
      </c>
      <c r="L93" s="23">
        <f t="shared" si="17"/>
        <v>1067405251.24</v>
      </c>
      <c r="M93" s="23">
        <f t="shared" si="17"/>
        <v>0</v>
      </c>
      <c r="N93" s="22">
        <f t="shared" si="17"/>
        <v>0</v>
      </c>
      <c r="O93" s="23">
        <f t="shared" si="17"/>
        <v>0</v>
      </c>
      <c r="P93" s="23">
        <f t="shared" si="17"/>
        <v>0</v>
      </c>
      <c r="Q93" s="22">
        <f t="shared" ref="Q93" si="18">SUM(E93:P93)</f>
        <v>10602133129.98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A92D-7351-488A-B68F-2DFC557AA6AE}">
  <sheetPr>
    <pageSetUpPr fitToPage="1"/>
  </sheetPr>
  <dimension ref="B4:Q99"/>
  <sheetViews>
    <sheetView showGridLines="0" topLeftCell="B1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9.140625" hidden="1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L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1066979907.87</v>
      </c>
      <c r="M13" s="8">
        <f t="shared" ref="M13" si="1">+M14+M20+M30+M40+M49+M57+M67+M72+M78+M85+M88+M91</f>
        <v>2483125327.5900002</v>
      </c>
      <c r="N13" s="8"/>
      <c r="O13" s="8"/>
      <c r="P13" s="8"/>
      <c r="Q13" s="9">
        <f>+SUM(E13:P13)</f>
        <v>13084833114.200001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L14" si="3">+SUM(K15:K19)</f>
        <v>131029669.94</v>
      </c>
      <c r="L14" s="11">
        <f t="shared" si="3"/>
        <v>134019810.36</v>
      </c>
      <c r="M14" s="11">
        <f t="shared" ref="M14" si="4">+SUM(M15:M19)</f>
        <v>133378351.18000001</v>
      </c>
      <c r="N14" s="11"/>
      <c r="O14" s="11"/>
      <c r="P14" s="11"/>
      <c r="Q14" s="12">
        <f t="shared" ref="Q14:Q77" si="5">+SUM(E14:P14)</f>
        <v>1259692040.96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/>
      <c r="O15" s="14"/>
      <c r="P15" s="14"/>
      <c r="Q15" s="15">
        <f t="shared" si="5"/>
        <v>973136462.88000011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/>
      <c r="O16" s="14"/>
      <c r="P16" s="14"/>
      <c r="Q16" s="15">
        <f t="shared" si="5"/>
        <v>141105088.28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/>
      <c r="O17" s="14"/>
      <c r="P17" s="14"/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/>
      <c r="O18" s="14"/>
      <c r="P18" s="14"/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/>
      <c r="O19" s="14"/>
      <c r="P19" s="14"/>
      <c r="Q19" s="15">
        <f t="shared" si="5"/>
        <v>145450489.80000001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138000426.12</v>
      </c>
      <c r="K20" s="11">
        <f t="shared" si="6"/>
        <v>64621000.839999996</v>
      </c>
      <c r="L20" s="11">
        <f>+SUM(L21:L29)</f>
        <v>23296519.52</v>
      </c>
      <c r="M20" s="11">
        <f>+SUM(M21:M29)</f>
        <v>55860809.629999995</v>
      </c>
      <c r="N20" s="11"/>
      <c r="O20" s="11"/>
      <c r="P20" s="11"/>
      <c r="Q20" s="12">
        <f t="shared" si="5"/>
        <v>672166554.59000003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/>
      <c r="O21" s="14"/>
      <c r="P21" s="14"/>
      <c r="Q21" s="15">
        <f t="shared" si="5"/>
        <v>29168579.670000002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/>
      <c r="O22" s="14"/>
      <c r="P22" s="14"/>
      <c r="Q22" s="15">
        <f t="shared" si="5"/>
        <v>111350704.46000001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/>
      <c r="O23" s="14"/>
      <c r="P23" s="14"/>
      <c r="Q23" s="15">
        <f t="shared" si="5"/>
        <v>23376912.039999999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/>
      <c r="O24" s="14"/>
      <c r="P24" s="14"/>
      <c r="Q24" s="15">
        <f t="shared" si="5"/>
        <v>39601748.870000005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/>
      <c r="O25" s="14"/>
      <c r="P25" s="14"/>
      <c r="Q25" s="15">
        <f t="shared" si="5"/>
        <v>104874653.41000001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/>
      <c r="O26" s="14"/>
      <c r="P26" s="14"/>
      <c r="Q26" s="15">
        <f t="shared" si="5"/>
        <v>56516977.029999994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v>1142112.19</v>
      </c>
      <c r="M27" s="14">
        <v>8661000.6999999993</v>
      </c>
      <c r="N27" s="14"/>
      <c r="O27" s="14"/>
      <c r="P27" s="14"/>
      <c r="Q27" s="15">
        <f t="shared" si="5"/>
        <v>21955538.32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v>3796758.88</v>
      </c>
      <c r="M28" s="14">
        <v>28573535.670000002</v>
      </c>
      <c r="N28" s="14"/>
      <c r="O28" s="14"/>
      <c r="P28" s="14"/>
      <c r="Q28" s="15">
        <f t="shared" si="5"/>
        <v>252300689.38999999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/>
      <c r="O29" s="14"/>
      <c r="P29" s="14"/>
      <c r="Q29" s="15">
        <f t="shared" si="5"/>
        <v>33020751.400000006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7">+SUM(E31:E39)</f>
        <v>3027970.37</v>
      </c>
      <c r="F30" s="11">
        <f t="shared" si="7"/>
        <v>86053694.749999985</v>
      </c>
      <c r="G30" s="11">
        <f t="shared" si="7"/>
        <v>77158710.769999996</v>
      </c>
      <c r="H30" s="11">
        <f t="shared" si="7"/>
        <v>44307623.410000004</v>
      </c>
      <c r="I30" s="11">
        <f t="shared" si="7"/>
        <v>89385847.239999995</v>
      </c>
      <c r="J30" s="11">
        <f t="shared" si="7"/>
        <v>79366224.799999997</v>
      </c>
      <c r="K30" s="11">
        <f t="shared" si="7"/>
        <v>4076391.0599999996</v>
      </c>
      <c r="L30" s="11">
        <f>+SUM(L31:L39)</f>
        <v>27742239.680000003</v>
      </c>
      <c r="M30" s="11">
        <f>+SUM(M31:M39)</f>
        <v>17579552.07</v>
      </c>
      <c r="N30" s="11">
        <f t="shared" si="7"/>
        <v>0</v>
      </c>
      <c r="O30" s="11">
        <f t="shared" si="7"/>
        <v>0</v>
      </c>
      <c r="P30" s="11">
        <f t="shared" si="7"/>
        <v>0</v>
      </c>
      <c r="Q30" s="12">
        <f t="shared" si="5"/>
        <v>428698254.14999998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5523144.3300000001</v>
      </c>
      <c r="N31" s="14"/>
      <c r="O31" s="14"/>
      <c r="P31" s="14"/>
      <c r="Q31" s="15">
        <f t="shared" si="5"/>
        <v>114366501.09000002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/>
      <c r="O32" s="14"/>
      <c r="P32" s="14"/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/>
      <c r="O33" s="14"/>
      <c r="P33" s="14"/>
      <c r="Q33" s="15">
        <f t="shared" si="5"/>
        <v>3169951.0300000003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/>
      <c r="O34" s="14"/>
      <c r="P34" s="14"/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/>
      <c r="O35" s="14"/>
      <c r="P35" s="14"/>
      <c r="Q35" s="15">
        <f t="shared" si="5"/>
        <v>1546455.78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8876473.7899999991</v>
      </c>
      <c r="N36" s="14"/>
      <c r="O36" s="14"/>
      <c r="P36" s="14"/>
      <c r="Q36" s="15">
        <f t="shared" si="5"/>
        <v>273336012.09999996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/>
      <c r="O37" s="14"/>
      <c r="P37" s="14"/>
      <c r="Q37" s="15">
        <f t="shared" si="5"/>
        <v>14337862.520000001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/>
      <c r="O38" s="14"/>
      <c r="P38" s="14"/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742009.94</v>
      </c>
      <c r="M39" s="14">
        <v>1041252.01</v>
      </c>
      <c r="N39" s="14"/>
      <c r="O39" s="14"/>
      <c r="P39" s="14"/>
      <c r="Q39" s="15">
        <f t="shared" si="5"/>
        <v>17283021.199999999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M40" si="8">+SUM(E41:E48)</f>
        <v>0</v>
      </c>
      <c r="F40" s="11">
        <f t="shared" si="8"/>
        <v>5000000</v>
      </c>
      <c r="G40" s="11">
        <f t="shared" si="8"/>
        <v>5500000</v>
      </c>
      <c r="H40" s="11">
        <f t="shared" si="8"/>
        <v>0</v>
      </c>
      <c r="I40" s="11">
        <f t="shared" si="8"/>
        <v>5000000</v>
      </c>
      <c r="J40" s="11">
        <f t="shared" si="8"/>
        <v>0</v>
      </c>
      <c r="K40" s="11">
        <f t="shared" si="8"/>
        <v>0</v>
      </c>
      <c r="L40" s="11">
        <f t="shared" si="8"/>
        <v>7500000</v>
      </c>
      <c r="M40" s="11">
        <f t="shared" si="8"/>
        <v>5000000</v>
      </c>
      <c r="N40" s="11"/>
      <c r="O40" s="11"/>
      <c r="P40" s="11"/>
      <c r="Q40" s="12">
        <f t="shared" si="5"/>
        <v>28000000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/>
      <c r="O41" s="14"/>
      <c r="P41" s="14"/>
      <c r="Q41" s="15">
        <f t="shared" si="5"/>
        <v>28000000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/>
      <c r="O42" s="14"/>
      <c r="P42" s="14"/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/>
      <c r="O43" s="14"/>
      <c r="P43" s="14"/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/>
      <c r="O44" s="14"/>
      <c r="P44" s="14"/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/>
      <c r="O45" s="14"/>
      <c r="P45" s="14"/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/>
      <c r="O46" s="14"/>
      <c r="P46" s="14"/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/>
      <c r="O47" s="14"/>
      <c r="P47" s="14"/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/>
      <c r="O48" s="14"/>
      <c r="P48" s="14"/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M49" si="9">+SUM(E50:E56)</f>
        <v>0</v>
      </c>
      <c r="F49" s="16">
        <f t="shared" si="9"/>
        <v>300000000</v>
      </c>
      <c r="G49" s="16">
        <f t="shared" si="9"/>
        <v>553513392</v>
      </c>
      <c r="H49" s="16">
        <f t="shared" si="9"/>
        <v>268916083</v>
      </c>
      <c r="I49" s="16">
        <f t="shared" si="9"/>
        <v>0</v>
      </c>
      <c r="J49" s="16">
        <f t="shared" si="9"/>
        <v>0</v>
      </c>
      <c r="K49" s="16">
        <f t="shared" si="9"/>
        <v>0</v>
      </c>
      <c r="L49" s="16">
        <f t="shared" si="9"/>
        <v>0</v>
      </c>
      <c r="M49" s="16">
        <f t="shared" si="9"/>
        <v>350000000</v>
      </c>
      <c r="N49" s="17"/>
      <c r="O49" s="16"/>
      <c r="P49" s="16"/>
      <c r="Q49" s="11">
        <f t="shared" si="5"/>
        <v>1472429475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9"/>
      <c r="O50" s="18"/>
      <c r="P50" s="18"/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9"/>
      <c r="O51" s="18"/>
      <c r="P51" s="18"/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9"/>
      <c r="O52" s="18"/>
      <c r="P52" s="18"/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9"/>
      <c r="O53" s="18"/>
      <c r="P53" s="18"/>
      <c r="Q53" s="14">
        <f t="shared" si="5"/>
        <v>1472429475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9"/>
      <c r="O54" s="18"/>
      <c r="P54" s="18"/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9"/>
      <c r="O55" s="18"/>
      <c r="P55" s="18"/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9"/>
      <c r="O56" s="18"/>
      <c r="P56" s="18"/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0">+SUM(E58:E66)</f>
        <v>102908557.17</v>
      </c>
      <c r="F57" s="16">
        <f t="shared" si="10"/>
        <v>396055915.40000004</v>
      </c>
      <c r="G57" s="16">
        <f t="shared" si="10"/>
        <v>42956193.960000001</v>
      </c>
      <c r="H57" s="16">
        <f t="shared" si="10"/>
        <v>173164301.91999999</v>
      </c>
      <c r="I57" s="16">
        <f t="shared" si="10"/>
        <v>173960534.13</v>
      </c>
      <c r="J57" s="16">
        <f t="shared" si="10"/>
        <v>61305094.619999997</v>
      </c>
      <c r="K57" s="16">
        <f t="shared" si="10"/>
        <v>116729246.48000002</v>
      </c>
      <c r="L57" s="16">
        <f t="shared" si="10"/>
        <v>70362331.329999998</v>
      </c>
      <c r="M57" s="16">
        <f t="shared" si="10"/>
        <v>45837096.990000002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1">
        <f t="shared" si="5"/>
        <v>1183279272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36640903</v>
      </c>
      <c r="N58" s="19"/>
      <c r="O58" s="18"/>
      <c r="P58" s="18"/>
      <c r="Q58" s="14">
        <f t="shared" si="5"/>
        <v>188619962.84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0</v>
      </c>
      <c r="N59" s="19"/>
      <c r="O59" s="18"/>
      <c r="P59" s="18"/>
      <c r="Q59" s="14">
        <f t="shared" si="5"/>
        <v>2708831.58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58316075.950000003</v>
      </c>
      <c r="M60" s="14">
        <v>4446973.8099999996</v>
      </c>
      <c r="N60" s="19"/>
      <c r="O60" s="18"/>
      <c r="P60" s="18"/>
      <c r="Q60" s="14">
        <f t="shared" si="5"/>
        <v>825758100.05999994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9"/>
      <c r="O61" s="18"/>
      <c r="P61" s="18"/>
      <c r="Q61" s="14">
        <f t="shared" si="5"/>
        <v>0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9"/>
      <c r="O62" s="18"/>
      <c r="P62" s="18"/>
      <c r="Q62" s="14">
        <f t="shared" si="5"/>
        <v>153087197.05000001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0</v>
      </c>
      <c r="N63" s="19"/>
      <c r="O63" s="18"/>
      <c r="P63" s="18"/>
      <c r="Q63" s="14">
        <f t="shared" si="5"/>
        <v>1190536.22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9"/>
      <c r="O64" s="18"/>
      <c r="P64" s="18"/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9"/>
      <c r="O65" s="18"/>
      <c r="P65" s="18"/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9"/>
      <c r="O66" s="18"/>
      <c r="P66" s="18"/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M67" si="11">+SUM(E68:E71)</f>
        <v>290900959.35000002</v>
      </c>
      <c r="F67" s="16">
        <f t="shared" si="11"/>
        <v>578304858.13999999</v>
      </c>
      <c r="G67" s="16">
        <f t="shared" si="11"/>
        <v>368276708.09000003</v>
      </c>
      <c r="H67" s="16">
        <f t="shared" si="11"/>
        <v>1247157530.4200001</v>
      </c>
      <c r="I67" s="16">
        <f>+SUM(I68:I71)</f>
        <v>1531481866.6099999</v>
      </c>
      <c r="J67" s="16">
        <f t="shared" si="11"/>
        <v>950695211.15999997</v>
      </c>
      <c r="K67" s="16">
        <f t="shared" si="11"/>
        <v>394221859.02999997</v>
      </c>
      <c r="L67" s="16">
        <f t="shared" si="11"/>
        <v>804059006.98000002</v>
      </c>
      <c r="M67" s="16">
        <f t="shared" si="11"/>
        <v>1875469517.72</v>
      </c>
      <c r="N67" s="17"/>
      <c r="O67" s="16"/>
      <c r="P67" s="16"/>
      <c r="Q67" s="11">
        <f t="shared" si="5"/>
        <v>8040567517.499999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1025746070.73</v>
      </c>
      <c r="N68" s="19"/>
      <c r="O68" s="18"/>
      <c r="P68" s="18"/>
      <c r="Q68" s="14">
        <f t="shared" si="5"/>
        <v>6455430220.5499992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9"/>
      <c r="O69" s="18"/>
      <c r="P69" s="18"/>
      <c r="Q69" s="14">
        <f t="shared" si="5"/>
        <v>1585137296.9499998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9"/>
      <c r="O70" s="18"/>
      <c r="P70" s="18"/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9"/>
      <c r="O71" s="18"/>
      <c r="P71" s="18"/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2">+SUM(I73:I77)</f>
        <v>0</v>
      </c>
      <c r="J72" s="16">
        <f t="shared" si="12"/>
        <v>0</v>
      </c>
      <c r="K72" s="16">
        <f t="shared" si="12"/>
        <v>0</v>
      </c>
      <c r="L72" s="16">
        <f t="shared" si="12"/>
        <v>0</v>
      </c>
      <c r="M72" s="16">
        <f t="shared" si="12"/>
        <v>0</v>
      </c>
      <c r="N72" s="16">
        <f t="shared" si="12"/>
        <v>0</v>
      </c>
      <c r="O72" s="16">
        <f t="shared" si="12"/>
        <v>0</v>
      </c>
      <c r="P72" s="16">
        <f t="shared" si="12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9"/>
      <c r="O73" s="18"/>
      <c r="P73" s="18"/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9"/>
      <c r="O74" s="18"/>
      <c r="P74" s="18"/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9"/>
      <c r="O75" s="18"/>
      <c r="P75" s="18"/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9"/>
      <c r="O76" s="18"/>
      <c r="P76" s="18"/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9"/>
      <c r="O77" s="18"/>
      <c r="P77" s="18"/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3">+SUM(I79:I83)</f>
        <v>0</v>
      </c>
      <c r="J78" s="16">
        <f t="shared" si="13"/>
        <v>0</v>
      </c>
      <c r="K78" s="16">
        <f t="shared" si="13"/>
        <v>0</v>
      </c>
      <c r="L78" s="16">
        <f t="shared" si="13"/>
        <v>0</v>
      </c>
      <c r="M78" s="16">
        <f t="shared" si="13"/>
        <v>0</v>
      </c>
      <c r="N78" s="17"/>
      <c r="O78" s="16"/>
      <c r="P78" s="16"/>
      <c r="Q78" s="11">
        <f t="shared" ref="Q78:Q92" si="14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9"/>
      <c r="O79" s="18"/>
      <c r="P79" s="18"/>
      <c r="Q79" s="14">
        <f t="shared" si="14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9"/>
      <c r="O80" s="18"/>
      <c r="P80" s="18"/>
      <c r="Q80" s="14">
        <f t="shared" si="14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9"/>
      <c r="O81" s="18"/>
      <c r="P81" s="18"/>
      <c r="Q81" s="14">
        <f t="shared" si="14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9"/>
      <c r="O82" s="18"/>
      <c r="P82" s="18"/>
      <c r="Q82" s="14">
        <f t="shared" si="14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9"/>
      <c r="O83" s="18"/>
      <c r="P83" s="18"/>
      <c r="Q83" s="14">
        <f t="shared" si="14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L84" si="15">+I85+I88+I91</f>
        <v>0</v>
      </c>
      <c r="J84" s="9">
        <f t="shared" si="15"/>
        <v>0</v>
      </c>
      <c r="K84" s="9">
        <f t="shared" si="15"/>
        <v>0</v>
      </c>
      <c r="L84" s="9">
        <f t="shared" si="15"/>
        <v>0</v>
      </c>
      <c r="M84" s="9">
        <f t="shared" ref="M84" si="16">+M85+M88+M91</f>
        <v>0</v>
      </c>
      <c r="N84" s="20"/>
      <c r="O84" s="9"/>
      <c r="P84" s="9"/>
      <c r="Q84" s="8">
        <f t="shared" si="14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L85" si="17">+SUM(I86:I87)</f>
        <v>0</v>
      </c>
      <c r="J85" s="16">
        <f t="shared" si="17"/>
        <v>0</v>
      </c>
      <c r="K85" s="16">
        <f t="shared" si="17"/>
        <v>0</v>
      </c>
      <c r="L85" s="16">
        <f t="shared" si="17"/>
        <v>0</v>
      </c>
      <c r="M85" s="16">
        <f t="shared" ref="M85" si="18">+SUM(M86:M87)</f>
        <v>0</v>
      </c>
      <c r="N85" s="17"/>
      <c r="O85" s="16"/>
      <c r="P85" s="16"/>
      <c r="Q85" s="11">
        <f t="shared" si="14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9"/>
      <c r="O86" s="18"/>
      <c r="P86" s="18"/>
      <c r="Q86" s="14">
        <f t="shared" si="14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9"/>
      <c r="O87" s="18"/>
      <c r="P87" s="18"/>
      <c r="Q87" s="14">
        <f t="shared" si="14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9">+SUM(I89:I90)</f>
        <v>0</v>
      </c>
      <c r="J88" s="16">
        <f t="shared" si="19"/>
        <v>0</v>
      </c>
      <c r="K88" s="16">
        <f t="shared" si="19"/>
        <v>0</v>
      </c>
      <c r="L88" s="16">
        <f t="shared" si="19"/>
        <v>0</v>
      </c>
      <c r="M88" s="16">
        <f t="shared" si="19"/>
        <v>0</v>
      </c>
      <c r="N88" s="16">
        <f t="shared" si="19"/>
        <v>0</v>
      </c>
      <c r="O88" s="16">
        <f t="shared" si="19"/>
        <v>0</v>
      </c>
      <c r="P88" s="16">
        <f t="shared" si="19"/>
        <v>0</v>
      </c>
      <c r="Q88" s="11">
        <f t="shared" si="14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9"/>
      <c r="O89" s="18"/>
      <c r="P89" s="18"/>
      <c r="Q89" s="14">
        <f t="shared" si="14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9"/>
      <c r="O90" s="18"/>
      <c r="P90" s="18"/>
      <c r="Q90" s="14">
        <f t="shared" si="14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L91" si="20">+SUM(I92)</f>
        <v>0</v>
      </c>
      <c r="J91" s="16">
        <f t="shared" si="20"/>
        <v>0</v>
      </c>
      <c r="K91" s="16">
        <f t="shared" si="20"/>
        <v>0</v>
      </c>
      <c r="L91" s="16">
        <f t="shared" si="20"/>
        <v>0</v>
      </c>
      <c r="M91" s="16"/>
      <c r="N91" s="17"/>
      <c r="O91" s="16"/>
      <c r="P91" s="16"/>
      <c r="Q91" s="11">
        <f t="shared" si="14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4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1">+E13</f>
        <v>559848065.21000004</v>
      </c>
      <c r="F93" s="23">
        <f t="shared" si="21"/>
        <v>1585230502.4400001</v>
      </c>
      <c r="G93" s="23">
        <f t="shared" si="21"/>
        <v>1239297640.0700002</v>
      </c>
      <c r="H93" s="23">
        <f t="shared" si="21"/>
        <v>1977861555.3099999</v>
      </c>
      <c r="I93" s="23">
        <f t="shared" si="21"/>
        <v>2101264526.0599999</v>
      </c>
      <c r="J93" s="23">
        <f t="shared" si="21"/>
        <v>1360547422.3</v>
      </c>
      <c r="K93" s="22">
        <f t="shared" si="21"/>
        <v>710678167.35000002</v>
      </c>
      <c r="L93" s="23">
        <f t="shared" si="21"/>
        <v>1066979907.87</v>
      </c>
      <c r="M93" s="23">
        <f t="shared" si="21"/>
        <v>2483125327.5900002</v>
      </c>
      <c r="N93" s="22">
        <f t="shared" si="21"/>
        <v>0</v>
      </c>
      <c r="O93" s="23">
        <f t="shared" si="21"/>
        <v>0</v>
      </c>
      <c r="P93" s="23">
        <f t="shared" si="21"/>
        <v>0</v>
      </c>
      <c r="Q93" s="22">
        <f t="shared" ref="Q93" si="22">SUM(E93:P93)</f>
        <v>13084833114.200001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3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D472-62FB-42D3-8D99-AA2B6E90FEC4}">
  <sheetPr>
    <pageSetUpPr fitToPage="1"/>
  </sheetPr>
  <dimension ref="B4:Q99"/>
  <sheetViews>
    <sheetView showGridLines="0" zoomScale="70" zoomScaleNormal="70" workbookViewId="0">
      <selection activeCell="B31" sqref="B31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5" width="11.42578125" hidden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N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1977861555.3099999</v>
      </c>
      <c r="I13" s="8">
        <f>+I14+I20+I30+I40+I49+I57+I67+I72+I78+I85+I88+I91</f>
        <v>2101264526.0599999</v>
      </c>
      <c r="J13" s="8">
        <f t="shared" si="0"/>
        <v>1360547422.3</v>
      </c>
      <c r="K13" s="8">
        <f>+K14+K20+K30+K40+K49+K57+K67+K72+K78+K85+K88+K91</f>
        <v>710678167.35000002</v>
      </c>
      <c r="L13" s="8">
        <f t="shared" si="0"/>
        <v>1058573208.24</v>
      </c>
      <c r="M13" s="8">
        <f t="shared" si="0"/>
        <v>2496916404.6899996</v>
      </c>
      <c r="N13" s="8">
        <f t="shared" si="0"/>
        <v>2488403836.8800001</v>
      </c>
      <c r="O13" s="8"/>
      <c r="P13" s="8"/>
      <c r="Q13" s="9">
        <f>+SUM(E13:P13)</f>
        <v>15578621328.549999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1">+SUM(E15:E19)</f>
        <v>122453982.7</v>
      </c>
      <c r="F14" s="11">
        <f t="shared" si="1"/>
        <v>128261060.55000001</v>
      </c>
      <c r="G14" s="11">
        <f t="shared" si="1"/>
        <v>134224622.49000001</v>
      </c>
      <c r="H14" s="11">
        <f t="shared" si="1"/>
        <v>130387627.15000001</v>
      </c>
      <c r="I14" s="11">
        <f t="shared" si="1"/>
        <v>214756450.99000001</v>
      </c>
      <c r="J14" s="11">
        <f t="shared" si="1"/>
        <v>131180465.59999999</v>
      </c>
      <c r="K14" s="11">
        <f t="shared" ref="K14:N14" si="2">+SUM(K15:K19)</f>
        <v>131029669.94</v>
      </c>
      <c r="L14" s="11">
        <f t="shared" si="2"/>
        <v>134019810.36</v>
      </c>
      <c r="M14" s="11">
        <f t="shared" si="2"/>
        <v>133378351.18000001</v>
      </c>
      <c r="N14" s="11">
        <f t="shared" si="2"/>
        <v>233809065.04000002</v>
      </c>
      <c r="O14" s="11"/>
      <c r="P14" s="11"/>
      <c r="Q14" s="12">
        <f t="shared" ref="Q14:Q77" si="3">+SUM(E14:P14)</f>
        <v>1493501106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/>
      <c r="P15" s="14"/>
      <c r="Q15" s="15">
        <f t="shared" si="3"/>
        <v>1084714919.5500002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/>
      <c r="P16" s="14"/>
      <c r="Q16" s="15">
        <f t="shared" si="3"/>
        <v>246327498.71000001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/>
      <c r="P17" s="14"/>
      <c r="Q17" s="15">
        <f t="shared" si="3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/>
      <c r="P18" s="14"/>
      <c r="Q18" s="15">
        <f t="shared" si="3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/>
      <c r="P19" s="14"/>
      <c r="Q19" s="15">
        <f t="shared" si="3"/>
        <v>162458687.74000001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4">+SUM(E21:E29)</f>
        <v>40556595.619999997</v>
      </c>
      <c r="F20" s="11">
        <f t="shared" si="4"/>
        <v>91554973.600000009</v>
      </c>
      <c r="G20" s="11">
        <f t="shared" si="4"/>
        <v>57668012.760000005</v>
      </c>
      <c r="H20" s="11">
        <f t="shared" si="4"/>
        <v>113928389.41</v>
      </c>
      <c r="I20" s="11">
        <f t="shared" si="4"/>
        <v>86679827.090000004</v>
      </c>
      <c r="J20" s="11">
        <f t="shared" si="4"/>
        <v>138000426.12</v>
      </c>
      <c r="K20" s="11">
        <f t="shared" si="4"/>
        <v>64621000.839999996</v>
      </c>
      <c r="L20" s="11">
        <f>+SUM(L21:L29)</f>
        <v>23185808</v>
      </c>
      <c r="M20" s="11">
        <f>+SUM(M21:M29)</f>
        <v>55860809.629999995</v>
      </c>
      <c r="N20" s="11">
        <f>+SUM(N21:N29)</f>
        <v>55559348.640000001</v>
      </c>
      <c r="O20" s="11"/>
      <c r="P20" s="11"/>
      <c r="Q20" s="12">
        <f t="shared" si="3"/>
        <v>727615191.71000004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/>
      <c r="P21" s="14"/>
      <c r="Q21" s="15">
        <f t="shared" si="3"/>
        <v>32819859.380000003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/>
      <c r="P22" s="14"/>
      <c r="Q22" s="15">
        <f t="shared" si="3"/>
        <v>116982084.46000001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/>
      <c r="P23" s="14"/>
      <c r="Q23" s="15">
        <f t="shared" si="3"/>
        <v>24688332.969999999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/>
      <c r="P24" s="14"/>
      <c r="Q24" s="15">
        <f t="shared" si="3"/>
        <v>39779248.870000005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/>
      <c r="P25" s="14"/>
      <c r="Q25" s="15">
        <f t="shared" si="3"/>
        <v>114476651.09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/>
      <c r="P26" s="14"/>
      <c r="Q26" s="15">
        <f t="shared" si="3"/>
        <v>60194959.159999996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2031863.71</v>
      </c>
      <c r="K27" s="14">
        <v>1262002.99</v>
      </c>
      <c r="L27" s="14">
        <v>1142112.19</v>
      </c>
      <c r="M27" s="14">
        <v>8661000.6999999993</v>
      </c>
      <c r="N27" s="14">
        <v>5081127.28</v>
      </c>
      <c r="O27" s="14"/>
      <c r="P27" s="14"/>
      <c r="Q27" s="15">
        <f t="shared" si="3"/>
        <v>27036665.600000001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30215909.829999998</v>
      </c>
      <c r="L28" s="14">
        <v>3686047.36</v>
      </c>
      <c r="M28" s="14">
        <v>28573535.670000002</v>
      </c>
      <c r="N28" s="14">
        <v>23459649.59</v>
      </c>
      <c r="O28" s="14"/>
      <c r="P28" s="14"/>
      <c r="Q28" s="15">
        <f t="shared" si="3"/>
        <v>275649627.45999998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/>
      <c r="P29" s="14"/>
      <c r="Q29" s="15">
        <f t="shared" si="3"/>
        <v>35987762.720000006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5">+SUM(E31:E39)</f>
        <v>3027970.37</v>
      </c>
      <c r="F30" s="11">
        <f t="shared" si="5"/>
        <v>86053694.749999985</v>
      </c>
      <c r="G30" s="11">
        <f t="shared" si="5"/>
        <v>77158710.769999996</v>
      </c>
      <c r="H30" s="11">
        <f t="shared" si="5"/>
        <v>44307623.410000004</v>
      </c>
      <c r="I30" s="11">
        <f t="shared" si="5"/>
        <v>89385847.239999995</v>
      </c>
      <c r="J30" s="11">
        <f t="shared" si="5"/>
        <v>79366224.799999997</v>
      </c>
      <c r="K30" s="11">
        <f t="shared" si="5"/>
        <v>4076391.0599999996</v>
      </c>
      <c r="L30" s="11">
        <f>+SUM(L31:L39)</f>
        <v>27742239.680000003</v>
      </c>
      <c r="M30" s="11">
        <f>+SUM(M31:M39)</f>
        <v>20755788.009999998</v>
      </c>
      <c r="N30" s="11">
        <f t="shared" si="5"/>
        <v>22081274.440000001</v>
      </c>
      <c r="O30" s="11">
        <f t="shared" si="5"/>
        <v>0</v>
      </c>
      <c r="P30" s="11">
        <f t="shared" si="5"/>
        <v>0</v>
      </c>
      <c r="Q30" s="12">
        <f t="shared" si="3"/>
        <v>453955764.52999997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/>
      <c r="P31" s="14"/>
      <c r="Q31" s="15">
        <f t="shared" si="3"/>
        <v>114447666.09000002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/>
      <c r="P32" s="14"/>
      <c r="Q32" s="15">
        <f t="shared" si="3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/>
      <c r="P33" s="14"/>
      <c r="Q33" s="15">
        <f t="shared" si="3"/>
        <v>3673727.9000000004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/>
      <c r="P34" s="14"/>
      <c r="Q34" s="15">
        <f t="shared" si="3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/>
      <c r="P35" s="14"/>
      <c r="Q35" s="15">
        <f t="shared" si="3"/>
        <v>1566105.1400000001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/>
      <c r="P36" s="14"/>
      <c r="Q36" s="15">
        <f t="shared" si="3"/>
        <v>294491757.71999997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/>
      <c r="P37" s="14"/>
      <c r="Q37" s="15">
        <f t="shared" si="3"/>
        <v>15417944.700000001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/>
      <c r="P38" s="14"/>
      <c r="Q38" s="15">
        <f t="shared" si="3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742009.94</v>
      </c>
      <c r="M39" s="14">
        <v>2416435.92</v>
      </c>
      <c r="N39" s="14">
        <v>1041907.44</v>
      </c>
      <c r="O39" s="14"/>
      <c r="P39" s="14"/>
      <c r="Q39" s="15">
        <f t="shared" si="3"/>
        <v>19700112.550000001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N40" si="6">+SUM(E41:E48)</f>
        <v>0</v>
      </c>
      <c r="F40" s="11">
        <f t="shared" si="6"/>
        <v>5000000</v>
      </c>
      <c r="G40" s="11">
        <f t="shared" si="6"/>
        <v>5500000</v>
      </c>
      <c r="H40" s="11">
        <f t="shared" si="6"/>
        <v>0</v>
      </c>
      <c r="I40" s="11">
        <f t="shared" si="6"/>
        <v>5000000</v>
      </c>
      <c r="J40" s="11">
        <f t="shared" si="6"/>
        <v>0</v>
      </c>
      <c r="K40" s="11">
        <f t="shared" si="6"/>
        <v>0</v>
      </c>
      <c r="L40" s="11">
        <f t="shared" si="6"/>
        <v>7500000</v>
      </c>
      <c r="M40" s="11">
        <f t="shared" si="6"/>
        <v>5000000</v>
      </c>
      <c r="N40" s="11">
        <f t="shared" si="6"/>
        <v>2500000</v>
      </c>
      <c r="O40" s="11"/>
      <c r="P40" s="11"/>
      <c r="Q40" s="12">
        <f t="shared" si="3"/>
        <v>30500000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/>
      <c r="P41" s="14"/>
      <c r="Q41" s="15">
        <f t="shared" si="3"/>
        <v>30500000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/>
      <c r="P42" s="14"/>
      <c r="Q42" s="15">
        <f t="shared" si="3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/>
      <c r="P43" s="14"/>
      <c r="Q43" s="15">
        <f t="shared" si="3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/>
      <c r="P44" s="14"/>
      <c r="Q44" s="15">
        <f t="shared" si="3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/>
      <c r="P45" s="14"/>
      <c r="Q45" s="15">
        <f t="shared" si="3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/>
      <c r="P46" s="14"/>
      <c r="Q46" s="15">
        <f t="shared" si="3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/>
      <c r="P47" s="14"/>
      <c r="Q47" s="15">
        <f t="shared" si="3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/>
      <c r="P48" s="14"/>
      <c r="Q48" s="15">
        <f t="shared" si="3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N49" si="7">+SUM(E50:E56)</f>
        <v>0</v>
      </c>
      <c r="F49" s="16">
        <f t="shared" si="7"/>
        <v>300000000</v>
      </c>
      <c r="G49" s="16">
        <f t="shared" si="7"/>
        <v>553513392</v>
      </c>
      <c r="H49" s="16">
        <f t="shared" si="7"/>
        <v>268916083</v>
      </c>
      <c r="I49" s="16">
        <f t="shared" si="7"/>
        <v>0</v>
      </c>
      <c r="J49" s="16">
        <f t="shared" si="7"/>
        <v>0</v>
      </c>
      <c r="K49" s="16">
        <f t="shared" si="7"/>
        <v>0</v>
      </c>
      <c r="L49" s="16">
        <f t="shared" si="7"/>
        <v>0</v>
      </c>
      <c r="M49" s="16">
        <f t="shared" si="7"/>
        <v>350000000</v>
      </c>
      <c r="N49" s="16">
        <f t="shared" si="7"/>
        <v>150000000</v>
      </c>
      <c r="O49" s="16"/>
      <c r="P49" s="16"/>
      <c r="Q49" s="11">
        <f t="shared" si="3"/>
        <v>1622429475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8"/>
      <c r="P50" s="18"/>
      <c r="Q50" s="14">
        <f t="shared" si="3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8"/>
      <c r="P51" s="18"/>
      <c r="Q51" s="14">
        <f t="shared" si="3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8"/>
      <c r="P52" s="18"/>
      <c r="Q52" s="14">
        <f t="shared" si="3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8"/>
      <c r="P53" s="18"/>
      <c r="Q53" s="14">
        <f t="shared" si="3"/>
        <v>1622429475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8"/>
      <c r="P54" s="18"/>
      <c r="Q54" s="14">
        <f t="shared" si="3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8"/>
      <c r="P55" s="18"/>
      <c r="Q55" s="14">
        <f t="shared" si="3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8"/>
      <c r="P56" s="18"/>
      <c r="Q56" s="14">
        <f t="shared" si="3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8">+SUM(E58:E66)</f>
        <v>102908557.17</v>
      </c>
      <c r="F57" s="16">
        <f t="shared" si="8"/>
        <v>396055915.40000004</v>
      </c>
      <c r="G57" s="16">
        <f t="shared" si="8"/>
        <v>42956193.960000001</v>
      </c>
      <c r="H57" s="16">
        <f t="shared" si="8"/>
        <v>173164301.91999999</v>
      </c>
      <c r="I57" s="16">
        <f t="shared" si="8"/>
        <v>173960534.13</v>
      </c>
      <c r="J57" s="16">
        <f t="shared" si="8"/>
        <v>61305094.619999997</v>
      </c>
      <c r="K57" s="16">
        <f t="shared" si="8"/>
        <v>116729246.48000002</v>
      </c>
      <c r="L57" s="16">
        <f t="shared" si="8"/>
        <v>62066343.219999999</v>
      </c>
      <c r="M57" s="16">
        <f t="shared" si="8"/>
        <v>52774595.710000001</v>
      </c>
      <c r="N57" s="16">
        <f t="shared" si="8"/>
        <v>331298621.00999999</v>
      </c>
      <c r="O57" s="16">
        <f t="shared" si="8"/>
        <v>0</v>
      </c>
      <c r="P57" s="16">
        <f t="shared" si="8"/>
        <v>0</v>
      </c>
      <c r="Q57" s="11">
        <f t="shared" si="3"/>
        <v>1513219403.6200001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8"/>
      <c r="P58" s="18"/>
      <c r="Q58" s="14">
        <f t="shared" si="3"/>
        <v>199592883.70000002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8"/>
      <c r="P59" s="18"/>
      <c r="Q59" s="14">
        <f t="shared" si="3"/>
        <v>3228695.04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8"/>
      <c r="P60" s="18"/>
      <c r="Q60" s="14">
        <f t="shared" si="3"/>
        <v>1139506832.8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8"/>
      <c r="P61" s="18"/>
      <c r="Q61" s="14">
        <f t="shared" si="3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38550738.240000002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8"/>
      <c r="P62" s="18"/>
      <c r="Q62" s="14">
        <f t="shared" si="3"/>
        <v>155406163.34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8"/>
      <c r="P63" s="18"/>
      <c r="Q63" s="14">
        <f t="shared" si="3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8"/>
      <c r="P64" s="18"/>
      <c r="Q64" s="14">
        <f t="shared" si="3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8"/>
      <c r="P65" s="18"/>
      <c r="Q65" s="14">
        <f t="shared" si="3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8"/>
      <c r="P66" s="18"/>
      <c r="Q66" s="14">
        <f t="shared" si="3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N67" si="9">+SUM(E68:E71)</f>
        <v>290900959.35000002</v>
      </c>
      <c r="F67" s="16">
        <f t="shared" si="9"/>
        <v>578304858.13999999</v>
      </c>
      <c r="G67" s="16">
        <f t="shared" si="9"/>
        <v>368276708.09000003</v>
      </c>
      <c r="H67" s="16">
        <f t="shared" si="9"/>
        <v>1247157530.4200001</v>
      </c>
      <c r="I67" s="16">
        <f>+SUM(I68:I71)</f>
        <v>1531481866.6099999</v>
      </c>
      <c r="J67" s="16">
        <f t="shared" si="9"/>
        <v>950695211.15999997</v>
      </c>
      <c r="K67" s="16">
        <f t="shared" si="9"/>
        <v>394221859.02999997</v>
      </c>
      <c r="L67" s="16">
        <f t="shared" si="9"/>
        <v>804059006.98000002</v>
      </c>
      <c r="M67" s="16">
        <f t="shared" si="9"/>
        <v>1879146860.1599998</v>
      </c>
      <c r="N67" s="16">
        <f t="shared" si="9"/>
        <v>1693155527.75</v>
      </c>
      <c r="O67" s="16"/>
      <c r="P67" s="16"/>
      <c r="Q67" s="11">
        <f t="shared" si="3"/>
        <v>9737400387.6899986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1029423413.17</v>
      </c>
      <c r="N68" s="14">
        <v>982994145.58000004</v>
      </c>
      <c r="O68" s="18"/>
      <c r="P68" s="18"/>
      <c r="Q68" s="14">
        <f t="shared" si="3"/>
        <v>7442101708.5699997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710161382.16999996</v>
      </c>
      <c r="O69" s="18"/>
      <c r="P69" s="18"/>
      <c r="Q69" s="14">
        <f t="shared" si="3"/>
        <v>2295298679.1199999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8"/>
      <c r="P70" s="18"/>
      <c r="Q70" s="14">
        <f t="shared" si="3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8"/>
      <c r="P71" s="18"/>
      <c r="Q71" s="14">
        <f t="shared" si="3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0">+SUM(I73:I77)</f>
        <v>0</v>
      </c>
      <c r="J72" s="16">
        <f t="shared" si="10"/>
        <v>0</v>
      </c>
      <c r="K72" s="16">
        <f t="shared" si="10"/>
        <v>0</v>
      </c>
      <c r="L72" s="16">
        <f t="shared" si="10"/>
        <v>0</v>
      </c>
      <c r="M72" s="16">
        <f t="shared" si="10"/>
        <v>0</v>
      </c>
      <c r="N72" s="16">
        <f t="shared" si="10"/>
        <v>0</v>
      </c>
      <c r="O72" s="16">
        <f t="shared" si="10"/>
        <v>0</v>
      </c>
      <c r="P72" s="16">
        <f t="shared" si="10"/>
        <v>0</v>
      </c>
      <c r="Q72" s="11">
        <f t="shared" si="3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8"/>
      <c r="P73" s="18"/>
      <c r="Q73" s="14">
        <f t="shared" si="3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8"/>
      <c r="P74" s="18"/>
      <c r="Q74" s="14">
        <f t="shared" si="3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8"/>
      <c r="P75" s="18"/>
      <c r="Q75" s="14">
        <f t="shared" si="3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8"/>
      <c r="P76" s="18"/>
      <c r="Q76" s="14">
        <f t="shared" si="3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8"/>
      <c r="P77" s="18"/>
      <c r="Q77" s="14">
        <f t="shared" si="3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1">+SUM(I79:I83)</f>
        <v>0</v>
      </c>
      <c r="J78" s="16">
        <f t="shared" si="11"/>
        <v>0</v>
      </c>
      <c r="K78" s="16">
        <f t="shared" si="11"/>
        <v>0</v>
      </c>
      <c r="L78" s="16">
        <f t="shared" si="11"/>
        <v>0</v>
      </c>
      <c r="M78" s="16">
        <f t="shared" si="11"/>
        <v>0</v>
      </c>
      <c r="N78" s="16">
        <f>+SUM(N79:N83)</f>
        <v>0</v>
      </c>
      <c r="O78" s="16"/>
      <c r="P78" s="16"/>
      <c r="Q78" s="11">
        <f t="shared" ref="Q78:Q92" si="12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8"/>
      <c r="P79" s="18"/>
      <c r="Q79" s="14">
        <f t="shared" si="12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8"/>
      <c r="P80" s="18"/>
      <c r="Q80" s="14">
        <f t="shared" si="12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8"/>
      <c r="P81" s="18"/>
      <c r="Q81" s="14">
        <f t="shared" si="12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8"/>
      <c r="P82" s="18"/>
      <c r="Q82" s="14">
        <f t="shared" si="12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8"/>
      <c r="P83" s="18"/>
      <c r="Q83" s="14">
        <f t="shared" si="12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M84" si="13">+I85+I88+I91</f>
        <v>0</v>
      </c>
      <c r="J84" s="9">
        <f t="shared" si="13"/>
        <v>0</v>
      </c>
      <c r="K84" s="9">
        <f t="shared" si="13"/>
        <v>0</v>
      </c>
      <c r="L84" s="9">
        <f t="shared" si="13"/>
        <v>0</v>
      </c>
      <c r="M84" s="9">
        <f t="shared" si="13"/>
        <v>0</v>
      </c>
      <c r="N84" s="9">
        <f t="shared" ref="N84" si="14">+N85+N88+N91</f>
        <v>0</v>
      </c>
      <c r="O84" s="9"/>
      <c r="P84" s="9"/>
      <c r="Q84" s="8">
        <f t="shared" si="12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M85" si="15">+SUM(I86:I87)</f>
        <v>0</v>
      </c>
      <c r="J85" s="16">
        <f t="shared" si="15"/>
        <v>0</v>
      </c>
      <c r="K85" s="16">
        <f t="shared" si="15"/>
        <v>0</v>
      </c>
      <c r="L85" s="16">
        <f t="shared" si="15"/>
        <v>0</v>
      </c>
      <c r="M85" s="16">
        <f t="shared" si="15"/>
        <v>0</v>
      </c>
      <c r="N85" s="16">
        <f t="shared" ref="N85" si="16">+SUM(N86:N87)</f>
        <v>0</v>
      </c>
      <c r="O85" s="16"/>
      <c r="P85" s="16"/>
      <c r="Q85" s="11">
        <f t="shared" si="12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8"/>
      <c r="P86" s="18"/>
      <c r="Q86" s="14">
        <f t="shared" si="12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8"/>
      <c r="P87" s="18"/>
      <c r="Q87" s="14">
        <f t="shared" si="12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17">+SUM(I89:I90)</f>
        <v>0</v>
      </c>
      <c r="J88" s="16">
        <f t="shared" si="17"/>
        <v>0</v>
      </c>
      <c r="K88" s="16">
        <f t="shared" si="17"/>
        <v>0</v>
      </c>
      <c r="L88" s="16">
        <f t="shared" si="17"/>
        <v>0</v>
      </c>
      <c r="M88" s="16">
        <f t="shared" si="17"/>
        <v>0</v>
      </c>
      <c r="N88" s="16">
        <f t="shared" si="17"/>
        <v>0</v>
      </c>
      <c r="O88" s="16">
        <f t="shared" si="17"/>
        <v>0</v>
      </c>
      <c r="P88" s="16">
        <f t="shared" si="17"/>
        <v>0</v>
      </c>
      <c r="Q88" s="11">
        <f t="shared" si="12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8"/>
      <c r="P89" s="18"/>
      <c r="Q89" s="14">
        <f t="shared" si="12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8"/>
      <c r="P90" s="18"/>
      <c r="Q90" s="14">
        <f t="shared" si="12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18">+SUM(I92)</f>
        <v>0</v>
      </c>
      <c r="J91" s="16">
        <f t="shared" si="18"/>
        <v>0</v>
      </c>
      <c r="K91" s="16">
        <f t="shared" si="18"/>
        <v>0</v>
      </c>
      <c r="L91" s="16">
        <f t="shared" si="18"/>
        <v>0</v>
      </c>
      <c r="M91" s="16">
        <f t="shared" si="18"/>
        <v>0</v>
      </c>
      <c r="N91" s="16">
        <f t="shared" si="18"/>
        <v>0</v>
      </c>
      <c r="O91" s="16">
        <f t="shared" si="18"/>
        <v>0</v>
      </c>
      <c r="P91" s="16">
        <f t="shared" si="18"/>
        <v>0</v>
      </c>
      <c r="Q91" s="11">
        <f t="shared" si="12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2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19">+E13</f>
        <v>559848065.21000004</v>
      </c>
      <c r="F93" s="23">
        <f t="shared" si="19"/>
        <v>1585230502.4400001</v>
      </c>
      <c r="G93" s="23">
        <f t="shared" si="19"/>
        <v>1239297640.0700002</v>
      </c>
      <c r="H93" s="23">
        <f t="shared" si="19"/>
        <v>1977861555.3099999</v>
      </c>
      <c r="I93" s="23">
        <f t="shared" si="19"/>
        <v>2101264526.0599999</v>
      </c>
      <c r="J93" s="23">
        <f t="shared" si="19"/>
        <v>1360547422.3</v>
      </c>
      <c r="K93" s="22">
        <f t="shared" si="19"/>
        <v>710678167.35000002</v>
      </c>
      <c r="L93" s="23">
        <f t="shared" si="19"/>
        <v>1058573208.24</v>
      </c>
      <c r="M93" s="23">
        <f t="shared" si="19"/>
        <v>2496916404.6899996</v>
      </c>
      <c r="N93" s="22">
        <f t="shared" si="19"/>
        <v>2488403836.8800001</v>
      </c>
      <c r="O93" s="23">
        <f t="shared" si="19"/>
        <v>0</v>
      </c>
      <c r="P93" s="23">
        <f t="shared" si="19"/>
        <v>0</v>
      </c>
      <c r="Q93" s="22">
        <f t="shared" ref="Q93" si="20">SUM(E93:P93)</f>
        <v>15578621328.549999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30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06C2-2CB1-4FD8-BEC4-04A88C28FDA0}">
  <sheetPr>
    <pageSetUpPr fitToPage="1"/>
  </sheetPr>
  <dimension ref="B4:Q99"/>
  <sheetViews>
    <sheetView showGridLines="0" topLeftCell="B4" zoomScale="70" zoomScaleNormal="70" workbookViewId="0">
      <selection activeCell="J45" sqref="J45"/>
    </sheetView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5" width="23.5703125" bestFit="1" customWidth="1"/>
    <col min="16" max="16" width="10.7109375" hidden="1" customWidth="1"/>
    <col min="17" max="17" width="24" bestFit="1" customWidth="1"/>
  </cols>
  <sheetData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7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7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7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7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7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7" x14ac:dyDescent="0.25">
      <c r="B13" s="6" t="s">
        <v>19</v>
      </c>
      <c r="C13" s="7">
        <v>13772224962</v>
      </c>
      <c r="D13" s="7">
        <v>498832438</v>
      </c>
      <c r="E13" s="8">
        <f t="shared" ref="E13:N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1968674331.7</v>
      </c>
      <c r="I13" s="8">
        <f>+I14+I20+I30+I40+I49+I57+I67+I72+I78+I85+I88+I91</f>
        <v>2101264526.0599999</v>
      </c>
      <c r="J13" s="8">
        <f>+J14+J20+J30+J40+J49+J57+J67+J72+J78+J85+J88+J91</f>
        <v>1360522286.6599998</v>
      </c>
      <c r="K13" s="8">
        <f>+K14+K20+K30+K40+K49+K57+K67+K72+K78+K85+K88+K91</f>
        <v>710661522.46000004</v>
      </c>
      <c r="L13" s="8">
        <f t="shared" si="0"/>
        <v>1058338770.5600001</v>
      </c>
      <c r="M13" s="8">
        <f t="shared" si="0"/>
        <v>2493592620.1100001</v>
      </c>
      <c r="N13" s="8">
        <f t="shared" si="0"/>
        <v>2314740186.8000002</v>
      </c>
      <c r="O13" s="8">
        <f t="shared" ref="O13" si="1">+O14+O20+O30+O40+O49+O57+O67+O72+O78+O85+O88+O91</f>
        <v>1525509080.4899998</v>
      </c>
      <c r="P13" s="8"/>
      <c r="Q13" s="9">
        <f>+SUM(E13:P13)</f>
        <v>16917679532.559999</v>
      </c>
    </row>
    <row r="14" spans="2:17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N14" si="3">+SUM(K15:K19)</f>
        <v>131029669.94</v>
      </c>
      <c r="L14" s="11">
        <f t="shared" si="3"/>
        <v>134019810.36</v>
      </c>
      <c r="M14" s="11">
        <f t="shared" si="3"/>
        <v>133378351.18000001</v>
      </c>
      <c r="N14" s="11">
        <f t="shared" si="3"/>
        <v>233809065.04000002</v>
      </c>
      <c r="O14" s="11">
        <f t="shared" ref="O14" si="4">+SUM(O15:O19)</f>
        <v>136516003.10999998</v>
      </c>
      <c r="P14" s="11"/>
      <c r="Q14" s="12">
        <f t="shared" ref="Q14:Q77" si="5">+SUM(E14:P14)</f>
        <v>1630017109.1099999</v>
      </c>
    </row>
    <row r="15" spans="2:17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>
        <v>112595890.31999999</v>
      </c>
      <c r="P15" s="14"/>
      <c r="Q15" s="15">
        <f t="shared" si="5"/>
        <v>1197310809.8700001</v>
      </c>
    </row>
    <row r="16" spans="2:17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>
        <v>7062250</v>
      </c>
      <c r="P16" s="14"/>
      <c r="Q16" s="15">
        <f t="shared" si="5"/>
        <v>253389748.71000001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/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/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>
        <v>16857862.789999999</v>
      </c>
      <c r="P19" s="14"/>
      <c r="Q19" s="15">
        <f t="shared" si="5"/>
        <v>179316550.53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137975290.47999999</v>
      </c>
      <c r="K20" s="11">
        <f t="shared" si="6"/>
        <v>64604355.950000003</v>
      </c>
      <c r="L20" s="11">
        <f>+SUM(L21:L29)</f>
        <v>23185808</v>
      </c>
      <c r="M20" s="11">
        <f>+SUM(M21:M29)</f>
        <v>50017121</v>
      </c>
      <c r="N20" s="11">
        <f>+SUM(N21:N29)</f>
        <v>55559348.640000001</v>
      </c>
      <c r="O20" s="11">
        <f t="shared" ref="O20:P20" si="7">+SUM(O21:O29)</f>
        <v>92626471.510000005</v>
      </c>
      <c r="P20" s="11">
        <f t="shared" si="7"/>
        <v>0</v>
      </c>
      <c r="Q20" s="12">
        <f t="shared" si="5"/>
        <v>814356194.06000006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>
        <v>3535539.84</v>
      </c>
      <c r="P21" s="14"/>
      <c r="Q21" s="15">
        <f t="shared" si="5"/>
        <v>36355399.219999999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>
        <v>0</v>
      </c>
      <c r="P22" s="14"/>
      <c r="Q22" s="15">
        <f t="shared" si="5"/>
        <v>116982084.46000001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>
        <v>3441954.51</v>
      </c>
      <c r="P23" s="14"/>
      <c r="Q23" s="15">
        <f t="shared" si="5"/>
        <v>28130287.479999997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>
        <v>177500</v>
      </c>
      <c r="P24" s="14"/>
      <c r="Q24" s="15">
        <f t="shared" si="5"/>
        <v>39956748.870000005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>
        <v>4828772.58</v>
      </c>
      <c r="P25" s="14"/>
      <c r="Q25" s="15">
        <f t="shared" si="5"/>
        <v>119305423.67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>
        <v>3902939.6</v>
      </c>
      <c r="P26" s="14"/>
      <c r="Q26" s="15">
        <f t="shared" si="5"/>
        <v>64097898.759999998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2006728.07</v>
      </c>
      <c r="K27" s="14">
        <v>1235240.98</v>
      </c>
      <c r="L27" s="14">
        <v>1142112.19</v>
      </c>
      <c r="M27" s="14">
        <v>2817312.07</v>
      </c>
      <c r="N27" s="14">
        <v>5081127.28</v>
      </c>
      <c r="O27" s="14">
        <v>7045903.0599999996</v>
      </c>
      <c r="P27" s="14"/>
      <c r="Q27" s="15">
        <f t="shared" si="5"/>
        <v>28186982.379999999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30226026.949999999</v>
      </c>
      <c r="L28" s="14">
        <v>3686047.36</v>
      </c>
      <c r="M28" s="14">
        <v>28573535.670000002</v>
      </c>
      <c r="N28" s="14">
        <v>23459649.59</v>
      </c>
      <c r="O28" s="14">
        <v>66730837.079999998</v>
      </c>
      <c r="P28" s="14"/>
      <c r="Q28" s="15">
        <f t="shared" si="5"/>
        <v>342390581.65999997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>
        <v>2963024.84</v>
      </c>
      <c r="P29" s="14"/>
      <c r="Q29" s="15">
        <f t="shared" si="5"/>
        <v>38950787.560000002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8">+SUM(E31:E39)</f>
        <v>3027970.37</v>
      </c>
      <c r="F30" s="11">
        <f t="shared" si="8"/>
        <v>86053694.749999985</v>
      </c>
      <c r="G30" s="11">
        <f t="shared" si="8"/>
        <v>77158710.769999996</v>
      </c>
      <c r="H30" s="11">
        <f t="shared" si="8"/>
        <v>44307623.410000004</v>
      </c>
      <c r="I30" s="11">
        <f t="shared" si="8"/>
        <v>89385847.239999995</v>
      </c>
      <c r="J30" s="11">
        <f>+SUM(J31:J39)</f>
        <v>79366224.799999997</v>
      </c>
      <c r="K30" s="11">
        <f t="shared" si="8"/>
        <v>4076391.0599999996</v>
      </c>
      <c r="L30" s="11">
        <f>+SUM(L31:L39)</f>
        <v>27507802.000000004</v>
      </c>
      <c r="M30" s="11">
        <f>+SUM(M31:M39)</f>
        <v>20755788.009999998</v>
      </c>
      <c r="N30" s="11">
        <f t="shared" si="8"/>
        <v>22046940.440000001</v>
      </c>
      <c r="O30" s="11">
        <f t="shared" si="8"/>
        <v>12474111.380000001</v>
      </c>
      <c r="P30" s="11">
        <f t="shared" si="8"/>
        <v>0</v>
      </c>
      <c r="Q30" s="12">
        <f t="shared" si="5"/>
        <v>466161104.22999996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>
        <v>5377841.9199999999</v>
      </c>
      <c r="P31" s="14"/>
      <c r="Q31" s="15">
        <f t="shared" si="5"/>
        <v>119825508.01000002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>
        <v>0</v>
      </c>
      <c r="P32" s="14"/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>
        <v>23142.63</v>
      </c>
      <c r="P33" s="14"/>
      <c r="Q33" s="15">
        <f t="shared" si="5"/>
        <v>3696870.5300000003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>
        <v>0</v>
      </c>
      <c r="P34" s="14"/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>
        <v>345374.42</v>
      </c>
      <c r="P35" s="14"/>
      <c r="Q35" s="15">
        <f t="shared" si="5"/>
        <v>1911479.56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>
        <v>3277632.99</v>
      </c>
      <c r="P36" s="14"/>
      <c r="Q36" s="15">
        <f t="shared" si="5"/>
        <v>297769390.70999998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>
        <v>1086815.7</v>
      </c>
      <c r="P37" s="14"/>
      <c r="Q37" s="15">
        <f t="shared" si="5"/>
        <v>16504760.4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/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507572.26</v>
      </c>
      <c r="M39" s="14">
        <v>2416435.92</v>
      </c>
      <c r="N39" s="14">
        <v>1007573.44</v>
      </c>
      <c r="O39" s="14">
        <v>2363303.7200000002</v>
      </c>
      <c r="P39" s="14"/>
      <c r="Q39" s="15">
        <f t="shared" si="5"/>
        <v>21794644.59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O40" si="9">+SUM(E41:E48)</f>
        <v>0</v>
      </c>
      <c r="F40" s="11">
        <f t="shared" si="9"/>
        <v>5000000</v>
      </c>
      <c r="G40" s="11">
        <f t="shared" si="9"/>
        <v>5500000</v>
      </c>
      <c r="H40" s="11">
        <f t="shared" si="9"/>
        <v>0</v>
      </c>
      <c r="I40" s="11">
        <f t="shared" si="9"/>
        <v>5000000</v>
      </c>
      <c r="J40" s="11">
        <f t="shared" si="9"/>
        <v>0</v>
      </c>
      <c r="K40" s="11">
        <f t="shared" si="9"/>
        <v>0</v>
      </c>
      <c r="L40" s="11">
        <f t="shared" si="9"/>
        <v>7500000</v>
      </c>
      <c r="M40" s="11">
        <f t="shared" si="9"/>
        <v>5000000</v>
      </c>
      <c r="N40" s="11">
        <f t="shared" si="9"/>
        <v>2500000</v>
      </c>
      <c r="O40" s="11">
        <f t="shared" si="9"/>
        <v>5000000</v>
      </c>
      <c r="P40" s="11"/>
      <c r="Q40" s="12">
        <f t="shared" si="5"/>
        <v>35500000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>
        <v>5000000</v>
      </c>
      <c r="P41" s="14"/>
      <c r="Q41" s="15">
        <f t="shared" si="5"/>
        <v>35500000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/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/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/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/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/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/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/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O49" si="10">+SUM(E50:E56)</f>
        <v>0</v>
      </c>
      <c r="F49" s="16">
        <f t="shared" si="10"/>
        <v>300000000</v>
      </c>
      <c r="G49" s="16">
        <f t="shared" si="10"/>
        <v>553513392</v>
      </c>
      <c r="H49" s="16">
        <f t="shared" si="10"/>
        <v>268916083</v>
      </c>
      <c r="I49" s="16">
        <f t="shared" si="10"/>
        <v>0</v>
      </c>
      <c r="J49" s="16">
        <f t="shared" si="10"/>
        <v>0</v>
      </c>
      <c r="K49" s="16">
        <f t="shared" si="10"/>
        <v>0</v>
      </c>
      <c r="L49" s="16">
        <f t="shared" si="10"/>
        <v>0</v>
      </c>
      <c r="M49" s="16">
        <f t="shared" si="10"/>
        <v>350000000</v>
      </c>
      <c r="N49" s="16">
        <f t="shared" si="10"/>
        <v>150000000</v>
      </c>
      <c r="O49" s="16">
        <f t="shared" si="10"/>
        <v>461083917</v>
      </c>
      <c r="P49" s="16"/>
      <c r="Q49" s="11">
        <f t="shared" si="5"/>
        <v>2083513392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8"/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8"/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8"/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4">
        <v>461083917</v>
      </c>
      <c r="P53" s="18"/>
      <c r="Q53" s="14">
        <f t="shared" si="5"/>
        <v>2083513392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8"/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8"/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8"/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1">+SUM(E58:E66)</f>
        <v>102908557.17</v>
      </c>
      <c r="F57" s="16">
        <f t="shared" si="11"/>
        <v>396055915.40000004</v>
      </c>
      <c r="G57" s="16">
        <f t="shared" si="11"/>
        <v>42956193.960000001</v>
      </c>
      <c r="H57" s="16">
        <f t="shared" si="11"/>
        <v>163977078.30999997</v>
      </c>
      <c r="I57" s="16">
        <f t="shared" si="11"/>
        <v>173960534.13</v>
      </c>
      <c r="J57" s="16">
        <f t="shared" si="11"/>
        <v>61305094.619999997</v>
      </c>
      <c r="K57" s="16">
        <f t="shared" si="11"/>
        <v>116729246.48000002</v>
      </c>
      <c r="L57" s="16">
        <f t="shared" si="11"/>
        <v>62066343.219999999</v>
      </c>
      <c r="M57" s="16">
        <f t="shared" si="11"/>
        <v>52774595.710000001</v>
      </c>
      <c r="N57" s="16">
        <f t="shared" si="11"/>
        <v>331298621.00999999</v>
      </c>
      <c r="O57" s="16">
        <f t="shared" si="11"/>
        <v>11682124.049999999</v>
      </c>
      <c r="P57" s="16">
        <f t="shared" si="11"/>
        <v>0</v>
      </c>
      <c r="Q57" s="11">
        <f t="shared" si="5"/>
        <v>1515714304.0599999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4">
        <v>10264446.27</v>
      </c>
      <c r="P58" s="18"/>
      <c r="Q58" s="14">
        <f t="shared" si="5"/>
        <v>209857329.97000003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4">
        <v>0</v>
      </c>
      <c r="P59" s="18"/>
      <c r="Q59" s="14">
        <f t="shared" si="5"/>
        <v>3228695.04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4">
        <v>0</v>
      </c>
      <c r="P60" s="18"/>
      <c r="Q60" s="14">
        <f t="shared" si="5"/>
        <v>1139506832.8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4">
        <v>0</v>
      </c>
      <c r="P61" s="18"/>
      <c r="Q61" s="14">
        <f t="shared" si="5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29363514.629999999</v>
      </c>
      <c r="I62" s="18">
        <v>7056255.4500000002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4">
        <v>1417677.78</v>
      </c>
      <c r="P62" s="18"/>
      <c r="Q62" s="14">
        <f t="shared" si="5"/>
        <v>147636617.51000002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4">
        <v>0</v>
      </c>
      <c r="P63" s="18"/>
      <c r="Q63" s="14">
        <f t="shared" si="5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8"/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8"/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4">
        <v>0</v>
      </c>
      <c r="P66" s="18"/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O67" si="12">+SUM(E68:E71)</f>
        <v>290900959.35000002</v>
      </c>
      <c r="F67" s="16">
        <f t="shared" si="12"/>
        <v>578304858.13999999</v>
      </c>
      <c r="G67" s="16">
        <f t="shared" si="12"/>
        <v>368276708.09000003</v>
      </c>
      <c r="H67" s="16">
        <f t="shared" si="12"/>
        <v>1247157530.4200001</v>
      </c>
      <c r="I67" s="16">
        <f>+SUM(I68:I71)</f>
        <v>1531481866.6099999</v>
      </c>
      <c r="J67" s="16">
        <f t="shared" si="12"/>
        <v>950695211.15999997</v>
      </c>
      <c r="K67" s="16">
        <f t="shared" si="12"/>
        <v>394221859.02999997</v>
      </c>
      <c r="L67" s="16">
        <f t="shared" si="12"/>
        <v>804059006.98000002</v>
      </c>
      <c r="M67" s="16">
        <f t="shared" si="12"/>
        <v>1881666764.21</v>
      </c>
      <c r="N67" s="16">
        <f t="shared" si="12"/>
        <v>1519526211.6700001</v>
      </c>
      <c r="O67" s="16">
        <f t="shared" si="12"/>
        <v>806126453.43999994</v>
      </c>
      <c r="P67" s="16"/>
      <c r="Q67" s="11">
        <f t="shared" si="5"/>
        <v>10372417429.1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739472534.86000001</v>
      </c>
      <c r="M68" s="14">
        <v>1031943317.22</v>
      </c>
      <c r="N68" s="14">
        <v>916007187.77999997</v>
      </c>
      <c r="O68" s="14">
        <v>699484095.15999997</v>
      </c>
      <c r="P68" s="18"/>
      <c r="Q68" s="14">
        <f t="shared" si="5"/>
        <v>8077118749.9799995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603519023.88999999</v>
      </c>
      <c r="O69" s="14">
        <v>106642358.28</v>
      </c>
      <c r="P69" s="18"/>
      <c r="Q69" s="14">
        <f t="shared" si="5"/>
        <v>2295298679.1199999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8"/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8"/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3">+SUM(I73:I77)</f>
        <v>0</v>
      </c>
      <c r="J72" s="16">
        <f t="shared" si="13"/>
        <v>0</v>
      </c>
      <c r="K72" s="16">
        <f t="shared" si="13"/>
        <v>0</v>
      </c>
      <c r="L72" s="16">
        <f t="shared" si="13"/>
        <v>0</v>
      </c>
      <c r="M72" s="16">
        <f t="shared" si="13"/>
        <v>0</v>
      </c>
      <c r="N72" s="16">
        <f t="shared" si="13"/>
        <v>0</v>
      </c>
      <c r="O72" s="16">
        <f t="shared" si="13"/>
        <v>0</v>
      </c>
      <c r="P72" s="16">
        <f t="shared" si="13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8"/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8"/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8"/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8"/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8"/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4">+SUM(I79:I83)</f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>+SUM(N79:N83)</f>
        <v>0</v>
      </c>
      <c r="O78" s="16">
        <f>+SUM(O79:O83)</f>
        <v>0</v>
      </c>
      <c r="P78" s="16"/>
      <c r="Q78" s="11">
        <f t="shared" ref="Q78:Q92" si="15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8"/>
      <c r="Q79" s="14">
        <f t="shared" si="15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8"/>
      <c r="Q80" s="14">
        <f t="shared" si="15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8"/>
      <c r="Q81" s="14">
        <f t="shared" si="15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8"/>
      <c r="Q82" s="14">
        <f t="shared" si="15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8"/>
      <c r="Q83" s="14">
        <f t="shared" si="15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N84" si="16">+I85+I88+I91</f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9">
        <f t="shared" si="16"/>
        <v>0</v>
      </c>
      <c r="N84" s="9">
        <f t="shared" si="16"/>
        <v>0</v>
      </c>
      <c r="O84" s="9">
        <f t="shared" ref="O84" si="17">+O85+O88+O91</f>
        <v>0</v>
      </c>
      <c r="P84" s="9"/>
      <c r="Q84" s="8">
        <f t="shared" si="15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N85" si="18">+SUM(I86:I87)</f>
        <v>0</v>
      </c>
      <c r="J85" s="16">
        <f t="shared" si="18"/>
        <v>0</v>
      </c>
      <c r="K85" s="16">
        <f t="shared" si="18"/>
        <v>0</v>
      </c>
      <c r="L85" s="16">
        <f t="shared" si="18"/>
        <v>0</v>
      </c>
      <c r="M85" s="16">
        <f t="shared" si="18"/>
        <v>0</v>
      </c>
      <c r="N85" s="16">
        <f t="shared" si="18"/>
        <v>0</v>
      </c>
      <c r="O85" s="16">
        <f t="shared" ref="O85" si="19">+SUM(O86:O87)</f>
        <v>0</v>
      </c>
      <c r="P85" s="16"/>
      <c r="Q85" s="11">
        <f t="shared" si="15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8"/>
      <c r="Q86" s="14">
        <f t="shared" si="15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8"/>
      <c r="Q87" s="14">
        <f t="shared" si="15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20">+SUM(I89:I90)</f>
        <v>0</v>
      </c>
      <c r="J88" s="16">
        <f t="shared" si="20"/>
        <v>0</v>
      </c>
      <c r="K88" s="16">
        <f t="shared" si="20"/>
        <v>0</v>
      </c>
      <c r="L88" s="16">
        <f t="shared" si="20"/>
        <v>0</v>
      </c>
      <c r="M88" s="16">
        <f t="shared" si="20"/>
        <v>0</v>
      </c>
      <c r="N88" s="16">
        <f t="shared" si="20"/>
        <v>0</v>
      </c>
      <c r="O88" s="16">
        <f t="shared" si="20"/>
        <v>0</v>
      </c>
      <c r="P88" s="16">
        <f t="shared" si="20"/>
        <v>0</v>
      </c>
      <c r="Q88" s="11">
        <f t="shared" si="15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8"/>
      <c r="Q89" s="14">
        <f t="shared" si="15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8"/>
      <c r="Q90" s="14">
        <f t="shared" si="15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21">+SUM(I92)</f>
        <v>0</v>
      </c>
      <c r="J91" s="16">
        <f t="shared" si="21"/>
        <v>0</v>
      </c>
      <c r="K91" s="16">
        <f t="shared" si="21"/>
        <v>0</v>
      </c>
      <c r="L91" s="16">
        <f t="shared" si="21"/>
        <v>0</v>
      </c>
      <c r="M91" s="16">
        <f t="shared" si="21"/>
        <v>0</v>
      </c>
      <c r="N91" s="16">
        <f t="shared" si="21"/>
        <v>0</v>
      </c>
      <c r="O91" s="16">
        <f t="shared" si="21"/>
        <v>0</v>
      </c>
      <c r="P91" s="16">
        <f t="shared" si="21"/>
        <v>0</v>
      </c>
      <c r="Q91" s="11">
        <f t="shared" si="15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5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2">+E13</f>
        <v>559848065.21000004</v>
      </c>
      <c r="F93" s="23">
        <f t="shared" si="22"/>
        <v>1585230502.4400001</v>
      </c>
      <c r="G93" s="23">
        <f t="shared" si="22"/>
        <v>1239297640.0700002</v>
      </c>
      <c r="H93" s="23">
        <f t="shared" si="22"/>
        <v>1968674331.7</v>
      </c>
      <c r="I93" s="23">
        <f t="shared" si="22"/>
        <v>2101264526.0599999</v>
      </c>
      <c r="J93" s="23">
        <f t="shared" si="22"/>
        <v>1360522286.6599998</v>
      </c>
      <c r="K93" s="22">
        <f t="shared" si="22"/>
        <v>710661522.46000004</v>
      </c>
      <c r="L93" s="23">
        <f t="shared" si="22"/>
        <v>1058338770.5600001</v>
      </c>
      <c r="M93" s="23">
        <f t="shared" si="22"/>
        <v>2493592620.1100001</v>
      </c>
      <c r="N93" s="22">
        <f t="shared" si="22"/>
        <v>2314740186.8000002</v>
      </c>
      <c r="O93" s="23">
        <f t="shared" si="22"/>
        <v>1525509080.4899998</v>
      </c>
      <c r="P93" s="23">
        <f t="shared" si="22"/>
        <v>0</v>
      </c>
      <c r="Q93" s="22">
        <f t="shared" ref="Q93" si="23">SUM(E93:P93)</f>
        <v>16917679532.559999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BE69-F8AE-4871-98AF-B22549E48AAA}">
  <sheetPr>
    <pageSetUpPr fitToPage="1"/>
  </sheetPr>
  <dimension ref="B4:S99"/>
  <sheetViews>
    <sheetView showGridLines="0" topLeftCell="A77" zoomScale="70" zoomScaleNormal="70" workbookViewId="0"/>
  </sheetViews>
  <sheetFormatPr baseColWidth="10" defaultRowHeight="15" x14ac:dyDescent="0.25"/>
  <cols>
    <col min="2" max="2" width="107.85546875" bestFit="1" customWidth="1"/>
    <col min="3" max="3" width="26.5703125" customWidth="1"/>
    <col min="4" max="4" width="29.28515625" customWidth="1"/>
    <col min="5" max="5" width="21.7109375" bestFit="1" customWidth="1"/>
    <col min="6" max="6" width="23.5703125" customWidth="1"/>
    <col min="7" max="7" width="23.5703125" bestFit="1" customWidth="1"/>
    <col min="8" max="8" width="23.140625" bestFit="1" customWidth="1"/>
    <col min="9" max="10" width="23.5703125" bestFit="1" customWidth="1"/>
    <col min="11" max="11" width="21" bestFit="1" customWidth="1"/>
    <col min="12" max="12" width="23.140625" customWidth="1"/>
    <col min="13" max="13" width="23.5703125" bestFit="1" customWidth="1"/>
    <col min="14" max="14" width="24.28515625" customWidth="1"/>
    <col min="15" max="16" width="23.5703125" bestFit="1" customWidth="1"/>
    <col min="17" max="17" width="24" bestFit="1" customWidth="1"/>
    <col min="18" max="18" width="14.85546875" bestFit="1" customWidth="1"/>
    <col min="19" max="19" width="15.28515625" bestFit="1" customWidth="1"/>
  </cols>
  <sheetData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9" ht="28.5" x14ac:dyDescent="0.25">
      <c r="B6" s="47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2:19" ht="15.75" x14ac:dyDescent="0.25">
      <c r="B7" s="49">
        <v>2024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9" ht="15.75" x14ac:dyDescent="0.25">
      <c r="B8" s="51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9" ht="15.75" x14ac:dyDescent="0.25">
      <c r="B9" s="52" t="s">
        <v>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9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9" ht="18.75" x14ac:dyDescent="0.25">
      <c r="B12" s="3" t="s">
        <v>3</v>
      </c>
      <c r="C12" s="3" t="s">
        <v>4</v>
      </c>
      <c r="D12" s="3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16</v>
      </c>
      <c r="P12" s="4" t="s">
        <v>17</v>
      </c>
      <c r="Q12" s="5" t="s">
        <v>18</v>
      </c>
    </row>
    <row r="13" spans="2:19" x14ac:dyDescent="0.25">
      <c r="B13" s="6" t="s">
        <v>19</v>
      </c>
      <c r="C13" s="7">
        <v>13772224962</v>
      </c>
      <c r="D13" s="7">
        <v>498832438</v>
      </c>
      <c r="E13" s="8">
        <f t="shared" ref="E13:O13" si="0">+E14+E20+E30+E40+E49+E57+E67+E72+E78+E85+E88+E91</f>
        <v>559848065.21000004</v>
      </c>
      <c r="F13" s="8">
        <f t="shared" si="0"/>
        <v>1585230502.4400001</v>
      </c>
      <c r="G13" s="8">
        <f t="shared" si="0"/>
        <v>1239297640.0700002</v>
      </c>
      <c r="H13" s="8">
        <f t="shared" si="0"/>
        <v>1968674331.7</v>
      </c>
      <c r="I13" s="8">
        <f>+I14+I20+I30+I40+I49+I57+I67+I72+I78+I85+I88+I91</f>
        <v>2097695918.21</v>
      </c>
      <c r="J13" s="8">
        <f>+J14+J20+J30+J40+J49+J57+J67+J72+J78+J85+J88+J91</f>
        <v>1360522286.6599998</v>
      </c>
      <c r="K13" s="8">
        <f>+K14+K20+K30+K40+K49+K57+K67+K72+K78+K85+K88+K91</f>
        <v>710661522.46000004</v>
      </c>
      <c r="L13" s="8">
        <f t="shared" si="0"/>
        <v>1057075416.8100001</v>
      </c>
      <c r="M13" s="8">
        <f t="shared" si="0"/>
        <v>2493592620.1100001</v>
      </c>
      <c r="N13" s="8">
        <f t="shared" si="0"/>
        <v>2314740186.8000002</v>
      </c>
      <c r="O13" s="8">
        <f t="shared" si="0"/>
        <v>1665555265.2399998</v>
      </c>
      <c r="P13" s="8">
        <f t="shared" ref="P13" si="1">+P14+P20+P30+P40+P49+P57+P67+P72+P78+P85+P88+P91</f>
        <v>2836332541.8299999</v>
      </c>
      <c r="Q13" s="9">
        <f>+SUM(E13:P13)</f>
        <v>19889226297.540001</v>
      </c>
      <c r="S13" s="7"/>
    </row>
    <row r="14" spans="2:19" x14ac:dyDescent="0.25">
      <c r="B14" s="10" t="s">
        <v>20</v>
      </c>
      <c r="C14" s="7">
        <v>2169203385</v>
      </c>
      <c r="D14" s="7">
        <v>185208489</v>
      </c>
      <c r="E14" s="11">
        <f t="shared" ref="E14:J14" si="2">+SUM(E15:E19)</f>
        <v>122453982.7</v>
      </c>
      <c r="F14" s="11">
        <f t="shared" si="2"/>
        <v>128261060.55000001</v>
      </c>
      <c r="G14" s="11">
        <f t="shared" si="2"/>
        <v>134224622.49000001</v>
      </c>
      <c r="H14" s="11">
        <f t="shared" si="2"/>
        <v>130387627.15000001</v>
      </c>
      <c r="I14" s="11">
        <f t="shared" si="2"/>
        <v>214756450.99000001</v>
      </c>
      <c r="J14" s="11">
        <f t="shared" si="2"/>
        <v>131180465.59999999</v>
      </c>
      <c r="K14" s="11">
        <f t="shared" ref="K14:O14" si="3">+SUM(K15:K19)</f>
        <v>131029669.94</v>
      </c>
      <c r="L14" s="11">
        <f t="shared" si="3"/>
        <v>134019810.36</v>
      </c>
      <c r="M14" s="11">
        <f t="shared" si="3"/>
        <v>133378351.18000001</v>
      </c>
      <c r="N14" s="11">
        <f t="shared" si="3"/>
        <v>233809065.04000002</v>
      </c>
      <c r="O14" s="11">
        <f t="shared" si="3"/>
        <v>136516003.10999998</v>
      </c>
      <c r="P14" s="11">
        <f t="shared" ref="P14" si="4">+SUM(P15:P19)</f>
        <v>329367124.26999998</v>
      </c>
      <c r="Q14" s="12">
        <f t="shared" ref="Q14:Q77" si="5">+SUM(E14:P14)</f>
        <v>1959384233.3799999</v>
      </c>
    </row>
    <row r="15" spans="2:19" x14ac:dyDescent="0.25">
      <c r="B15" s="13" t="s">
        <v>21</v>
      </c>
      <c r="C15" s="7">
        <v>1517975142.1199999</v>
      </c>
      <c r="D15" s="7">
        <v>110573529.12</v>
      </c>
      <c r="E15" s="14">
        <v>101617924.5</v>
      </c>
      <c r="F15" s="14">
        <v>106885633.73</v>
      </c>
      <c r="G15" s="14">
        <v>112996444.12</v>
      </c>
      <c r="H15" s="14">
        <v>109029150.40000001</v>
      </c>
      <c r="I15" s="14">
        <v>107339122.09</v>
      </c>
      <c r="J15" s="14">
        <v>107204080.5</v>
      </c>
      <c r="K15" s="14">
        <v>107798391.31</v>
      </c>
      <c r="L15" s="14">
        <v>110350137.19</v>
      </c>
      <c r="M15" s="14">
        <v>109915579.04000001</v>
      </c>
      <c r="N15" s="14">
        <v>111578456.67</v>
      </c>
      <c r="O15" s="14">
        <v>112595890.31999999</v>
      </c>
      <c r="P15" s="14">
        <v>210273773.65000001</v>
      </c>
      <c r="Q15" s="15">
        <f t="shared" si="5"/>
        <v>1407584583.5200002</v>
      </c>
    </row>
    <row r="16" spans="2:19" x14ac:dyDescent="0.25">
      <c r="B16" s="13" t="s">
        <v>22</v>
      </c>
      <c r="C16" s="7">
        <v>412263200</v>
      </c>
      <c r="D16" s="7">
        <v>1342000</v>
      </c>
      <c r="E16" s="14">
        <v>5343500</v>
      </c>
      <c r="F16" s="14">
        <v>5297500</v>
      </c>
      <c r="G16" s="14">
        <v>5285500</v>
      </c>
      <c r="H16" s="14">
        <v>5270000</v>
      </c>
      <c r="I16" s="14">
        <v>91201588.280000001</v>
      </c>
      <c r="J16" s="14">
        <v>7709000</v>
      </c>
      <c r="K16" s="14">
        <v>6863000</v>
      </c>
      <c r="L16" s="14">
        <v>6997000</v>
      </c>
      <c r="M16" s="14">
        <v>7138000</v>
      </c>
      <c r="N16" s="14">
        <v>105222410.43000001</v>
      </c>
      <c r="O16" s="14">
        <v>7062250</v>
      </c>
      <c r="P16" s="14">
        <v>102166777.48999999</v>
      </c>
      <c r="Q16" s="15">
        <f t="shared" si="5"/>
        <v>355556526.19999999</v>
      </c>
    </row>
    <row r="17" spans="2:17" x14ac:dyDescent="0.25">
      <c r="B17" s="13" t="s">
        <v>23</v>
      </c>
      <c r="C17" s="7">
        <v>3000000</v>
      </c>
      <c r="D17" s="7">
        <v>0</v>
      </c>
      <c r="E17" s="14">
        <v>0</v>
      </c>
      <c r="F17" s="14">
        <v>0</v>
      </c>
      <c r="G17" s="14">
        <v>0</v>
      </c>
      <c r="H17" s="14">
        <v>0</v>
      </c>
      <c r="I17" s="14"/>
      <c r="J17" s="14"/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5">
        <f t="shared" si="5"/>
        <v>0</v>
      </c>
    </row>
    <row r="18" spans="2:17" x14ac:dyDescent="0.25">
      <c r="B18" s="13" t="s">
        <v>24</v>
      </c>
      <c r="C18" s="7">
        <v>0</v>
      </c>
      <c r="D18" s="7">
        <v>0</v>
      </c>
      <c r="E18" s="14">
        <v>0</v>
      </c>
      <c r="F18" s="14">
        <v>0</v>
      </c>
      <c r="G18" s="14">
        <v>0</v>
      </c>
      <c r="H18" s="14">
        <v>0</v>
      </c>
      <c r="I18" s="14"/>
      <c r="J18" s="14"/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5">
        <f t="shared" si="5"/>
        <v>0</v>
      </c>
    </row>
    <row r="19" spans="2:17" x14ac:dyDescent="0.25">
      <c r="B19" s="13" t="s">
        <v>25</v>
      </c>
      <c r="C19" s="7">
        <v>235965042.88</v>
      </c>
      <c r="D19" s="7">
        <v>73292959.879999995</v>
      </c>
      <c r="E19" s="14">
        <v>15492558.199999999</v>
      </c>
      <c r="F19" s="14">
        <v>16077926.82</v>
      </c>
      <c r="G19" s="14">
        <v>15942678.369999999</v>
      </c>
      <c r="H19" s="14">
        <v>16088476.75</v>
      </c>
      <c r="I19" s="14">
        <v>16215740.619999999</v>
      </c>
      <c r="J19" s="14">
        <v>16267385.1</v>
      </c>
      <c r="K19" s="14">
        <v>16368278.630000001</v>
      </c>
      <c r="L19" s="14">
        <v>16672673.17</v>
      </c>
      <c r="M19" s="14">
        <v>16324772.140000001</v>
      </c>
      <c r="N19" s="14">
        <v>17008197.940000001</v>
      </c>
      <c r="O19" s="14">
        <v>16857862.789999999</v>
      </c>
      <c r="P19" s="14">
        <v>16926573.129999999</v>
      </c>
      <c r="Q19" s="15">
        <f t="shared" si="5"/>
        <v>196243123.66</v>
      </c>
    </row>
    <row r="20" spans="2:17" x14ac:dyDescent="0.25">
      <c r="B20" s="10" t="s">
        <v>26</v>
      </c>
      <c r="C20" s="7">
        <v>890951904</v>
      </c>
      <c r="D20" s="7">
        <v>-53402000</v>
      </c>
      <c r="E20" s="11">
        <f t="shared" ref="E20:K20" si="6">+SUM(E21:E29)</f>
        <v>40556595.619999997</v>
      </c>
      <c r="F20" s="11">
        <f t="shared" si="6"/>
        <v>91554973.600000009</v>
      </c>
      <c r="G20" s="11">
        <f t="shared" si="6"/>
        <v>57668012.760000005</v>
      </c>
      <c r="H20" s="11">
        <f t="shared" si="6"/>
        <v>113928389.41</v>
      </c>
      <c r="I20" s="11">
        <f t="shared" si="6"/>
        <v>86679827.090000004</v>
      </c>
      <c r="J20" s="11">
        <f t="shared" si="6"/>
        <v>137975290.47999999</v>
      </c>
      <c r="K20" s="11">
        <f t="shared" si="6"/>
        <v>64604355.950000003</v>
      </c>
      <c r="L20" s="11">
        <f>+SUM(L21:L29)</f>
        <v>23185808</v>
      </c>
      <c r="M20" s="11">
        <f>+SUM(M21:M29)</f>
        <v>50017121</v>
      </c>
      <c r="N20" s="11">
        <f>+SUM(N21:N29)</f>
        <v>55559348.640000001</v>
      </c>
      <c r="O20" s="11">
        <f t="shared" ref="O20:P20" si="7">+SUM(O21:O29)</f>
        <v>93626471.510000005</v>
      </c>
      <c r="P20" s="11">
        <f t="shared" si="7"/>
        <v>125348472.02</v>
      </c>
      <c r="Q20" s="12">
        <f t="shared" si="5"/>
        <v>940704666.08000004</v>
      </c>
    </row>
    <row r="21" spans="2:17" x14ac:dyDescent="0.25">
      <c r="B21" s="13" t="s">
        <v>27</v>
      </c>
      <c r="C21" s="7">
        <v>57930000</v>
      </c>
      <c r="D21" s="7">
        <v>0</v>
      </c>
      <c r="E21" s="14">
        <v>2264859.66</v>
      </c>
      <c r="F21" s="14">
        <v>3292183.41</v>
      </c>
      <c r="G21" s="14">
        <v>3256830.57</v>
      </c>
      <c r="H21" s="14">
        <v>1980835.05</v>
      </c>
      <c r="I21" s="14">
        <v>4331636.8899999997</v>
      </c>
      <c r="J21" s="14">
        <v>3514146.67</v>
      </c>
      <c r="K21" s="14">
        <v>3538764.56</v>
      </c>
      <c r="L21" s="14">
        <v>3517859.19</v>
      </c>
      <c r="M21" s="14">
        <v>3471463.67</v>
      </c>
      <c r="N21" s="14">
        <v>3651279.71</v>
      </c>
      <c r="O21" s="14">
        <v>3535539.84</v>
      </c>
      <c r="P21" s="14">
        <v>4399135.1900000004</v>
      </c>
      <c r="Q21" s="15">
        <f t="shared" si="5"/>
        <v>40754534.409999996</v>
      </c>
    </row>
    <row r="22" spans="2:17" x14ac:dyDescent="0.25">
      <c r="B22" s="13" t="s">
        <v>28</v>
      </c>
      <c r="C22" s="7">
        <v>126615000</v>
      </c>
      <c r="D22" s="7">
        <v>0</v>
      </c>
      <c r="E22" s="14">
        <v>17951984.289999999</v>
      </c>
      <c r="F22" s="14">
        <v>15747515.140000001</v>
      </c>
      <c r="G22" s="14">
        <v>14964572.1</v>
      </c>
      <c r="H22" s="14">
        <v>40505360</v>
      </c>
      <c r="I22" s="14">
        <v>16178980</v>
      </c>
      <c r="J22" s="14">
        <v>2883717.51</v>
      </c>
      <c r="K22" s="14">
        <v>478375.42</v>
      </c>
      <c r="L22" s="14">
        <v>1295000</v>
      </c>
      <c r="M22" s="14">
        <v>1345200</v>
      </c>
      <c r="N22" s="14">
        <v>5631380</v>
      </c>
      <c r="O22" s="14">
        <v>0</v>
      </c>
      <c r="P22" s="14">
        <v>27844838.719999999</v>
      </c>
      <c r="Q22" s="15">
        <f t="shared" si="5"/>
        <v>144826923.18000001</v>
      </c>
    </row>
    <row r="23" spans="2:17" x14ac:dyDescent="0.25">
      <c r="B23" s="13" t="s">
        <v>29</v>
      </c>
      <c r="C23" s="7">
        <v>25005000</v>
      </c>
      <c r="D23" s="7">
        <v>0</v>
      </c>
      <c r="E23" s="14">
        <v>2072860</v>
      </c>
      <c r="F23" s="14">
        <v>2088557.5</v>
      </c>
      <c r="G23" s="14">
        <v>2691367</v>
      </c>
      <c r="H23" s="14">
        <v>2722562.1</v>
      </c>
      <c r="I23" s="14">
        <v>3811315.02</v>
      </c>
      <c r="J23" s="14">
        <v>2265192</v>
      </c>
      <c r="K23" s="14">
        <v>3725260</v>
      </c>
      <c r="L23" s="14">
        <v>1845290.32</v>
      </c>
      <c r="M23" s="14">
        <v>2154508.1</v>
      </c>
      <c r="N23" s="14">
        <v>1311420.93</v>
      </c>
      <c r="O23" s="14">
        <v>3441954.51</v>
      </c>
      <c r="P23" s="14">
        <v>5563574.71</v>
      </c>
      <c r="Q23" s="15">
        <f t="shared" si="5"/>
        <v>33693862.189999998</v>
      </c>
    </row>
    <row r="24" spans="2:17" x14ac:dyDescent="0.25">
      <c r="B24" s="13" t="s">
        <v>30</v>
      </c>
      <c r="C24" s="7">
        <v>41519800</v>
      </c>
      <c r="D24" s="7">
        <v>24309800</v>
      </c>
      <c r="E24" s="14">
        <v>0</v>
      </c>
      <c r="F24" s="14">
        <v>11645378.4</v>
      </c>
      <c r="G24" s="14">
        <v>4421000</v>
      </c>
      <c r="H24" s="14">
        <v>2876320</v>
      </c>
      <c r="I24" s="14">
        <v>6578804.7999999998</v>
      </c>
      <c r="J24" s="14">
        <v>6102624.96</v>
      </c>
      <c r="K24" s="14">
        <v>5389057.8300000001</v>
      </c>
      <c r="L24" s="14">
        <v>177500</v>
      </c>
      <c r="M24" s="14">
        <v>2411062.88</v>
      </c>
      <c r="N24" s="14">
        <v>177500</v>
      </c>
      <c r="O24" s="14">
        <v>1177500</v>
      </c>
      <c r="P24" s="14">
        <v>2309660</v>
      </c>
      <c r="Q24" s="15">
        <f t="shared" si="5"/>
        <v>43266408.870000005</v>
      </c>
    </row>
    <row r="25" spans="2:17" x14ac:dyDescent="0.25">
      <c r="B25" s="13" t="s">
        <v>31</v>
      </c>
      <c r="C25" s="7">
        <v>148603946</v>
      </c>
      <c r="D25" s="7">
        <v>-34400000</v>
      </c>
      <c r="E25" s="14">
        <v>5971519.7999999998</v>
      </c>
      <c r="F25" s="14">
        <v>5563822.1699999999</v>
      </c>
      <c r="G25" s="14">
        <v>4491072.33</v>
      </c>
      <c r="H25" s="14">
        <v>6519892.9699999997</v>
      </c>
      <c r="I25" s="14">
        <v>6799102.7800000003</v>
      </c>
      <c r="J25" s="14">
        <v>55019091.840000004</v>
      </c>
      <c r="K25" s="14">
        <v>12769544.9</v>
      </c>
      <c r="L25" s="14">
        <v>4591053.7300000004</v>
      </c>
      <c r="M25" s="14">
        <v>3149552.89</v>
      </c>
      <c r="N25" s="14">
        <v>9601997.6799999997</v>
      </c>
      <c r="O25" s="14">
        <v>4828772.58</v>
      </c>
      <c r="P25" s="14">
        <v>10250738.130000001</v>
      </c>
      <c r="Q25" s="15">
        <f t="shared" si="5"/>
        <v>129556161.8</v>
      </c>
    </row>
    <row r="26" spans="2:17" x14ac:dyDescent="0.25">
      <c r="B26" s="13" t="s">
        <v>32</v>
      </c>
      <c r="C26" s="7">
        <v>68010000</v>
      </c>
      <c r="D26" s="7">
        <v>-17000000</v>
      </c>
      <c r="E26" s="14">
        <v>3437155.26</v>
      </c>
      <c r="F26" s="14">
        <v>3223259.88</v>
      </c>
      <c r="G26" s="14">
        <v>14361456.9</v>
      </c>
      <c r="H26" s="14">
        <v>17255879</v>
      </c>
      <c r="I26" s="14">
        <v>3569991.8</v>
      </c>
      <c r="J26" s="14">
        <v>3418116.05</v>
      </c>
      <c r="K26" s="14">
        <v>3470515.45</v>
      </c>
      <c r="L26" s="14">
        <v>3880540.55</v>
      </c>
      <c r="M26" s="14">
        <v>3900062.14</v>
      </c>
      <c r="N26" s="14">
        <v>3677982.13</v>
      </c>
      <c r="O26" s="14">
        <v>3902939.6</v>
      </c>
      <c r="P26" s="14">
        <v>3955468.01</v>
      </c>
      <c r="Q26" s="15">
        <f t="shared" si="5"/>
        <v>68053366.769999996</v>
      </c>
    </row>
    <row r="27" spans="2:17" x14ac:dyDescent="0.25">
      <c r="B27" s="13" t="s">
        <v>33</v>
      </c>
      <c r="C27" s="7">
        <v>78962636</v>
      </c>
      <c r="D27" s="7">
        <v>-19000000</v>
      </c>
      <c r="E27" s="14">
        <v>605822.69999999995</v>
      </c>
      <c r="F27" s="14">
        <v>1880175.92</v>
      </c>
      <c r="G27" s="14">
        <v>2486537.85</v>
      </c>
      <c r="H27" s="14">
        <v>1013752.37</v>
      </c>
      <c r="I27" s="14">
        <v>2872269.89</v>
      </c>
      <c r="J27" s="14">
        <v>2006728.07</v>
      </c>
      <c r="K27" s="14">
        <v>1235240.98</v>
      </c>
      <c r="L27" s="14">
        <v>1142112.19</v>
      </c>
      <c r="M27" s="14">
        <v>2817312.07</v>
      </c>
      <c r="N27" s="14">
        <v>5081127.28</v>
      </c>
      <c r="O27" s="14">
        <v>7045903.0599999996</v>
      </c>
      <c r="P27" s="14">
        <v>7956955.0700000003</v>
      </c>
      <c r="Q27" s="15">
        <f t="shared" si="5"/>
        <v>36143937.450000003</v>
      </c>
    </row>
    <row r="28" spans="2:17" x14ac:dyDescent="0.25">
      <c r="B28" s="13" t="s">
        <v>34</v>
      </c>
      <c r="C28" s="7">
        <v>282195915.56</v>
      </c>
      <c r="D28" s="7">
        <v>-19921406.439999998</v>
      </c>
      <c r="E28" s="14">
        <v>5604429.3499999996</v>
      </c>
      <c r="F28" s="14">
        <v>41391480.850000001</v>
      </c>
      <c r="G28" s="14">
        <v>9412567.1999999993</v>
      </c>
      <c r="H28" s="14">
        <v>34557216.039999999</v>
      </c>
      <c r="I28" s="14">
        <v>36282090.130000003</v>
      </c>
      <c r="J28" s="14">
        <v>62466701.439999998</v>
      </c>
      <c r="K28" s="14">
        <v>30226026.949999999</v>
      </c>
      <c r="L28" s="14">
        <v>3686047.36</v>
      </c>
      <c r="M28" s="14">
        <v>28573535.670000002</v>
      </c>
      <c r="N28" s="14">
        <v>23459649.59</v>
      </c>
      <c r="O28" s="14">
        <v>66730837.079999998</v>
      </c>
      <c r="P28" s="14">
        <v>57315838.670000002</v>
      </c>
      <c r="Q28" s="15">
        <f t="shared" si="5"/>
        <v>399706420.32999998</v>
      </c>
    </row>
    <row r="29" spans="2:17" x14ac:dyDescent="0.25">
      <c r="B29" s="13" t="s">
        <v>35</v>
      </c>
      <c r="C29" s="7">
        <v>62109606.439999998</v>
      </c>
      <c r="D29" s="7">
        <v>12609606.440000001</v>
      </c>
      <c r="E29" s="14">
        <v>2647964.56</v>
      </c>
      <c r="F29" s="14">
        <v>6722600.3300000001</v>
      </c>
      <c r="G29" s="14">
        <v>1582608.81</v>
      </c>
      <c r="H29" s="14">
        <v>6496571.8799999999</v>
      </c>
      <c r="I29" s="14">
        <v>6255635.7800000003</v>
      </c>
      <c r="J29" s="14">
        <v>298971.94</v>
      </c>
      <c r="K29" s="14">
        <v>3771569.86</v>
      </c>
      <c r="L29" s="14">
        <v>3050404.66</v>
      </c>
      <c r="M29" s="14">
        <v>2194423.58</v>
      </c>
      <c r="N29" s="14">
        <v>2967011.32</v>
      </c>
      <c r="O29" s="14">
        <v>2963024.84</v>
      </c>
      <c r="P29" s="14">
        <v>5752263.5199999996</v>
      </c>
      <c r="Q29" s="15">
        <f t="shared" si="5"/>
        <v>44703051.079999998</v>
      </c>
    </row>
    <row r="30" spans="2:17" x14ac:dyDescent="0.25">
      <c r="B30" s="10" t="s">
        <v>36</v>
      </c>
      <c r="C30" s="7">
        <v>603027715</v>
      </c>
      <c r="D30" s="7">
        <v>495241458</v>
      </c>
      <c r="E30" s="11">
        <f t="shared" ref="E30:P30" si="8">+SUM(E31:E39)</f>
        <v>3027970.37</v>
      </c>
      <c r="F30" s="11">
        <f t="shared" si="8"/>
        <v>86053694.749999985</v>
      </c>
      <c r="G30" s="11">
        <f t="shared" si="8"/>
        <v>77158710.769999996</v>
      </c>
      <c r="H30" s="11">
        <f t="shared" si="8"/>
        <v>44307623.410000004</v>
      </c>
      <c r="I30" s="11">
        <f t="shared" si="8"/>
        <v>89385847.239999995</v>
      </c>
      <c r="J30" s="11">
        <f>+SUM(J31:J39)</f>
        <v>79366224.799999997</v>
      </c>
      <c r="K30" s="11">
        <f t="shared" si="8"/>
        <v>4076391.0599999996</v>
      </c>
      <c r="L30" s="11">
        <f>+SUM(L31:L39)</f>
        <v>27507802.000000004</v>
      </c>
      <c r="M30" s="11">
        <f>+SUM(M31:M39)</f>
        <v>20755788.009999998</v>
      </c>
      <c r="N30" s="11">
        <f t="shared" si="8"/>
        <v>22046940.440000001</v>
      </c>
      <c r="O30" s="11">
        <f t="shared" si="8"/>
        <v>23982883.709999997</v>
      </c>
      <c r="P30" s="11">
        <f t="shared" si="8"/>
        <v>15394439.629999999</v>
      </c>
      <c r="Q30" s="12">
        <f t="shared" si="5"/>
        <v>493064316.18999994</v>
      </c>
    </row>
    <row r="31" spans="2:17" x14ac:dyDescent="0.25">
      <c r="B31" s="13" t="s">
        <v>37</v>
      </c>
      <c r="C31" s="7">
        <v>156359767</v>
      </c>
      <c r="D31" s="7">
        <v>151056138</v>
      </c>
      <c r="E31" s="14">
        <v>491955.4</v>
      </c>
      <c r="F31" s="14">
        <v>6762538.2199999997</v>
      </c>
      <c r="G31" s="14">
        <v>36363680.960000001</v>
      </c>
      <c r="H31" s="14">
        <v>12056997.550000001</v>
      </c>
      <c r="I31" s="27">
        <v>14207338.43</v>
      </c>
      <c r="J31" s="14">
        <v>37472254.020000003</v>
      </c>
      <c r="K31" s="14">
        <v>1305802.18</v>
      </c>
      <c r="L31" s="14">
        <v>182790</v>
      </c>
      <c r="M31" s="14">
        <v>5356459.55</v>
      </c>
      <c r="N31" s="14">
        <v>247849.78</v>
      </c>
      <c r="O31" s="14">
        <v>16886614.25</v>
      </c>
      <c r="P31" s="14">
        <v>4222781.95</v>
      </c>
      <c r="Q31" s="15">
        <f t="shared" si="5"/>
        <v>135557062.29000002</v>
      </c>
    </row>
    <row r="32" spans="2:17" x14ac:dyDescent="0.25">
      <c r="B32" s="13" t="s">
        <v>38</v>
      </c>
      <c r="C32" s="7">
        <v>4505351</v>
      </c>
      <c r="D32" s="7">
        <v>395351</v>
      </c>
      <c r="E32" s="14">
        <v>0</v>
      </c>
      <c r="F32" s="14">
        <v>929250</v>
      </c>
      <c r="G32" s="14">
        <v>279070</v>
      </c>
      <c r="H32" s="14">
        <v>113470.28</v>
      </c>
      <c r="I32" s="14">
        <v>1156984.22</v>
      </c>
      <c r="J32" s="14">
        <v>388072.5</v>
      </c>
      <c r="K32" s="14">
        <v>225612.39</v>
      </c>
      <c r="L32" s="14">
        <v>1448739.1</v>
      </c>
      <c r="M32" s="14">
        <v>0</v>
      </c>
      <c r="N32" s="14">
        <v>0</v>
      </c>
      <c r="O32" s="14">
        <v>0</v>
      </c>
      <c r="P32" s="14">
        <v>0</v>
      </c>
      <c r="Q32" s="15">
        <f t="shared" si="5"/>
        <v>4541198.49</v>
      </c>
    </row>
    <row r="33" spans="2:17" x14ac:dyDescent="0.25">
      <c r="B33" s="13" t="s">
        <v>39</v>
      </c>
      <c r="C33" s="7">
        <v>3232371</v>
      </c>
      <c r="D33" s="7">
        <v>-1655000</v>
      </c>
      <c r="E33" s="14">
        <v>396554.34</v>
      </c>
      <c r="F33" s="14">
        <v>0</v>
      </c>
      <c r="G33" s="14">
        <v>0</v>
      </c>
      <c r="H33" s="14">
        <v>734656.2</v>
      </c>
      <c r="I33" s="14">
        <v>763633.99</v>
      </c>
      <c r="J33" s="14">
        <v>0</v>
      </c>
      <c r="K33" s="14">
        <v>387368.9</v>
      </c>
      <c r="L33" s="14">
        <v>0</v>
      </c>
      <c r="M33" s="14">
        <v>887737.6</v>
      </c>
      <c r="N33" s="14">
        <v>503776.87</v>
      </c>
      <c r="O33" s="14">
        <v>23142.63</v>
      </c>
      <c r="P33" s="14">
        <v>185732</v>
      </c>
      <c r="Q33" s="15">
        <f t="shared" si="5"/>
        <v>3882602.5300000003</v>
      </c>
    </row>
    <row r="34" spans="2:17" x14ac:dyDescent="0.25">
      <c r="B34" s="13" t="s">
        <v>40</v>
      </c>
      <c r="C34" s="7">
        <v>494580</v>
      </c>
      <c r="D34" s="7">
        <v>-205420</v>
      </c>
      <c r="E34" s="14">
        <v>0</v>
      </c>
      <c r="F34" s="14">
        <v>0</v>
      </c>
      <c r="G34" s="14">
        <v>0</v>
      </c>
      <c r="H34" s="14">
        <v>0</v>
      </c>
      <c r="I34" s="14">
        <v>116247.34</v>
      </c>
      <c r="J34" s="14">
        <v>0</v>
      </c>
      <c r="K34" s="14">
        <v>1004.6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5"/>
        <v>117251.94</v>
      </c>
    </row>
    <row r="35" spans="2:17" x14ac:dyDescent="0.25">
      <c r="B35" s="13" t="s">
        <v>41</v>
      </c>
      <c r="C35" s="7">
        <v>3190000</v>
      </c>
      <c r="D35" s="7">
        <v>1170000</v>
      </c>
      <c r="E35" s="14">
        <v>0</v>
      </c>
      <c r="F35" s="14">
        <v>42055.199999999997</v>
      </c>
      <c r="G35" s="14">
        <v>330400</v>
      </c>
      <c r="H35" s="14">
        <v>467552.91</v>
      </c>
      <c r="I35" s="14">
        <v>68567.87</v>
      </c>
      <c r="J35" s="14">
        <v>0</v>
      </c>
      <c r="K35" s="14">
        <v>52470.64</v>
      </c>
      <c r="L35" s="14">
        <v>232460</v>
      </c>
      <c r="M35" s="14">
        <v>352949.16</v>
      </c>
      <c r="N35" s="14">
        <v>19649.36</v>
      </c>
      <c r="O35" s="14">
        <v>345374.42</v>
      </c>
      <c r="P35" s="14">
        <v>308112.15999999997</v>
      </c>
      <c r="Q35" s="15">
        <f t="shared" si="5"/>
        <v>2219591.7200000002</v>
      </c>
    </row>
    <row r="36" spans="2:17" x14ac:dyDescent="0.25">
      <c r="B36" s="13" t="s">
        <v>42</v>
      </c>
      <c r="C36" s="7">
        <v>337950267</v>
      </c>
      <c r="D36" s="7">
        <v>327900010</v>
      </c>
      <c r="E36" s="14">
        <v>81378.460000000006</v>
      </c>
      <c r="F36" s="14">
        <v>75448415.819999993</v>
      </c>
      <c r="G36" s="14">
        <v>27375930.84</v>
      </c>
      <c r="H36" s="14">
        <v>29085064.550000001</v>
      </c>
      <c r="I36" s="14">
        <v>68778267.549999997</v>
      </c>
      <c r="J36" s="14">
        <v>39508899.950000003</v>
      </c>
      <c r="K36" s="14">
        <v>114110.41</v>
      </c>
      <c r="L36" s="14">
        <v>24067470.73</v>
      </c>
      <c r="M36" s="14">
        <v>10844210.6</v>
      </c>
      <c r="N36" s="14">
        <v>19188008.809999999</v>
      </c>
      <c r="O36" s="14">
        <v>3277632.99</v>
      </c>
      <c r="P36" s="14">
        <v>4602706.25</v>
      </c>
      <c r="Q36" s="15">
        <f t="shared" si="5"/>
        <v>302372096.95999998</v>
      </c>
    </row>
    <row r="37" spans="2:17" x14ac:dyDescent="0.25">
      <c r="B37" s="13" t="s">
        <v>43</v>
      </c>
      <c r="C37" s="7">
        <v>73480379</v>
      </c>
      <c r="D37" s="7">
        <v>9610379</v>
      </c>
      <c r="E37" s="14">
        <v>984457.46</v>
      </c>
      <c r="F37" s="14">
        <v>1763227.52</v>
      </c>
      <c r="G37" s="14">
        <v>2619419.79</v>
      </c>
      <c r="H37" s="14">
        <v>1556143.28</v>
      </c>
      <c r="I37" s="14">
        <v>3277616.41</v>
      </c>
      <c r="J37" s="14">
        <v>1329380.75</v>
      </c>
      <c r="K37" s="14">
        <v>840852.22</v>
      </c>
      <c r="L37" s="14">
        <v>1068769.9099999999</v>
      </c>
      <c r="M37" s="14">
        <v>897995.18</v>
      </c>
      <c r="N37" s="14">
        <v>1080082.18</v>
      </c>
      <c r="O37" s="14">
        <v>1086815.7</v>
      </c>
      <c r="P37" s="14">
        <v>1086656.18</v>
      </c>
      <c r="Q37" s="15">
        <f t="shared" si="5"/>
        <v>17591416.580000002</v>
      </c>
    </row>
    <row r="38" spans="2:17" x14ac:dyDescent="0.25">
      <c r="B38" s="13" t="s">
        <v>44</v>
      </c>
      <c r="C38" s="7">
        <v>0</v>
      </c>
      <c r="D38" s="7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5">
        <f t="shared" si="5"/>
        <v>0</v>
      </c>
    </row>
    <row r="39" spans="2:17" x14ac:dyDescent="0.25">
      <c r="B39" s="13" t="s">
        <v>45</v>
      </c>
      <c r="C39" s="7">
        <v>23815000</v>
      </c>
      <c r="D39" s="7">
        <v>6970000</v>
      </c>
      <c r="E39" s="14">
        <v>1073624.71</v>
      </c>
      <c r="F39" s="14">
        <v>1108207.99</v>
      </c>
      <c r="G39" s="14">
        <v>10190209.18</v>
      </c>
      <c r="H39" s="14">
        <v>293738.64</v>
      </c>
      <c r="I39" s="14">
        <v>1017191.43</v>
      </c>
      <c r="J39" s="14">
        <v>667617.57999999996</v>
      </c>
      <c r="K39" s="14">
        <v>1149169.72</v>
      </c>
      <c r="L39" s="14">
        <v>507572.26</v>
      </c>
      <c r="M39" s="14">
        <v>2416435.92</v>
      </c>
      <c r="N39" s="14">
        <v>1007573.44</v>
      </c>
      <c r="O39" s="14">
        <v>2363303.7200000002</v>
      </c>
      <c r="P39" s="14">
        <v>4988451.09</v>
      </c>
      <c r="Q39" s="15">
        <f t="shared" si="5"/>
        <v>26783095.68</v>
      </c>
    </row>
    <row r="40" spans="2:17" x14ac:dyDescent="0.25">
      <c r="B40" s="10" t="s">
        <v>46</v>
      </c>
      <c r="C40" s="7">
        <v>41130000</v>
      </c>
      <c r="D40" s="7">
        <v>0</v>
      </c>
      <c r="E40" s="11">
        <f t="shared" ref="E40:P40" si="9">+SUM(E41:E48)</f>
        <v>0</v>
      </c>
      <c r="F40" s="11">
        <f t="shared" si="9"/>
        <v>5000000</v>
      </c>
      <c r="G40" s="11">
        <f t="shared" si="9"/>
        <v>5500000</v>
      </c>
      <c r="H40" s="11">
        <f t="shared" si="9"/>
        <v>0</v>
      </c>
      <c r="I40" s="11">
        <f t="shared" si="9"/>
        <v>5000000</v>
      </c>
      <c r="J40" s="11">
        <f t="shared" si="9"/>
        <v>0</v>
      </c>
      <c r="K40" s="11">
        <f t="shared" si="9"/>
        <v>0</v>
      </c>
      <c r="L40" s="11">
        <f t="shared" si="9"/>
        <v>7500000</v>
      </c>
      <c r="M40" s="11">
        <f t="shared" si="9"/>
        <v>5000000</v>
      </c>
      <c r="N40" s="11">
        <f t="shared" si="9"/>
        <v>2500000</v>
      </c>
      <c r="O40" s="11">
        <f t="shared" si="9"/>
        <v>5000000</v>
      </c>
      <c r="P40" s="11">
        <f t="shared" si="9"/>
        <v>5200000</v>
      </c>
      <c r="Q40" s="12">
        <f t="shared" si="5"/>
        <v>40700000</v>
      </c>
    </row>
    <row r="41" spans="2:17" x14ac:dyDescent="0.25">
      <c r="B41" s="13" t="s">
        <v>47</v>
      </c>
      <c r="C41" s="7">
        <v>41130000</v>
      </c>
      <c r="D41" s="7">
        <v>0</v>
      </c>
      <c r="E41" s="14">
        <v>0</v>
      </c>
      <c r="F41" s="14">
        <v>5000000</v>
      </c>
      <c r="G41" s="14">
        <v>5500000</v>
      </c>
      <c r="H41" s="14">
        <f>VLOOKUP(B41,[2]RefCCPCuenta!$B$8:$G$46,6,FALSE)</f>
        <v>0</v>
      </c>
      <c r="I41" s="14">
        <v>5000000</v>
      </c>
      <c r="J41" s="14">
        <v>0</v>
      </c>
      <c r="K41" s="14">
        <v>0</v>
      </c>
      <c r="L41" s="14">
        <v>7500000</v>
      </c>
      <c r="M41" s="14">
        <v>5000000</v>
      </c>
      <c r="N41" s="14">
        <v>2500000</v>
      </c>
      <c r="O41" s="14">
        <v>5000000</v>
      </c>
      <c r="P41" s="14">
        <v>5200000</v>
      </c>
      <c r="Q41" s="15">
        <f t="shared" si="5"/>
        <v>40700000</v>
      </c>
    </row>
    <row r="42" spans="2:17" x14ac:dyDescent="0.25">
      <c r="B42" s="13" t="s">
        <v>48</v>
      </c>
      <c r="C42" s="7">
        <v>0</v>
      </c>
      <c r="D42" s="7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5">
        <f t="shared" si="5"/>
        <v>0</v>
      </c>
    </row>
    <row r="43" spans="2:17" x14ac:dyDescent="0.25">
      <c r="B43" s="13" t="s">
        <v>49</v>
      </c>
      <c r="C43" s="7">
        <v>0</v>
      </c>
      <c r="D43" s="7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5">
        <f t="shared" si="5"/>
        <v>0</v>
      </c>
    </row>
    <row r="44" spans="2:17" x14ac:dyDescent="0.25">
      <c r="B44" s="13" t="s">
        <v>50</v>
      </c>
      <c r="C44" s="7">
        <v>0</v>
      </c>
      <c r="D44" s="7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f t="shared" si="5"/>
        <v>0</v>
      </c>
    </row>
    <row r="45" spans="2:17" x14ac:dyDescent="0.25">
      <c r="B45" s="13" t="s">
        <v>51</v>
      </c>
      <c r="C45" s="7">
        <v>0</v>
      </c>
      <c r="D45" s="7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f t="shared" si="5"/>
        <v>0</v>
      </c>
    </row>
    <row r="46" spans="2:17" x14ac:dyDescent="0.25">
      <c r="B46" s="13" t="s">
        <v>52</v>
      </c>
      <c r="C46" s="7">
        <v>0</v>
      </c>
      <c r="D46" s="7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5">
        <f t="shared" si="5"/>
        <v>0</v>
      </c>
    </row>
    <row r="47" spans="2:17" x14ac:dyDescent="0.25">
      <c r="B47" s="13" t="s">
        <v>53</v>
      </c>
      <c r="C47" s="7">
        <v>0</v>
      </c>
      <c r="D47" s="7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f t="shared" si="5"/>
        <v>0</v>
      </c>
    </row>
    <row r="48" spans="2:17" x14ac:dyDescent="0.25">
      <c r="B48" s="13" t="s">
        <v>54</v>
      </c>
      <c r="C48" s="7">
        <v>0</v>
      </c>
      <c r="D48" s="7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>
        <f t="shared" si="5"/>
        <v>0</v>
      </c>
    </row>
    <row r="49" spans="2:17" x14ac:dyDescent="0.25">
      <c r="B49" s="10" t="s">
        <v>55</v>
      </c>
      <c r="C49" s="7">
        <v>1432429475</v>
      </c>
      <c r="D49" s="7">
        <v>270000000</v>
      </c>
      <c r="E49" s="11">
        <f t="shared" ref="E49:P49" si="10">+SUM(E50:E56)</f>
        <v>0</v>
      </c>
      <c r="F49" s="16">
        <f t="shared" si="10"/>
        <v>300000000</v>
      </c>
      <c r="G49" s="16">
        <f t="shared" si="10"/>
        <v>553513392</v>
      </c>
      <c r="H49" s="16">
        <f t="shared" si="10"/>
        <v>268916083</v>
      </c>
      <c r="I49" s="16">
        <f t="shared" si="10"/>
        <v>0</v>
      </c>
      <c r="J49" s="16">
        <f t="shared" si="10"/>
        <v>0</v>
      </c>
      <c r="K49" s="16">
        <f t="shared" si="10"/>
        <v>0</v>
      </c>
      <c r="L49" s="16">
        <f t="shared" si="10"/>
        <v>0</v>
      </c>
      <c r="M49" s="16">
        <f t="shared" si="10"/>
        <v>350000000</v>
      </c>
      <c r="N49" s="16">
        <f t="shared" si="10"/>
        <v>150000000</v>
      </c>
      <c r="O49" s="16">
        <f t="shared" si="10"/>
        <v>461083917</v>
      </c>
      <c r="P49" s="16">
        <f t="shared" si="10"/>
        <v>0</v>
      </c>
      <c r="Q49" s="11">
        <f t="shared" si="5"/>
        <v>2083513392</v>
      </c>
    </row>
    <row r="50" spans="2:17" x14ac:dyDescent="0.25">
      <c r="B50" s="13" t="s">
        <v>56</v>
      </c>
      <c r="C50" s="7">
        <v>0</v>
      </c>
      <c r="D50" s="7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f t="shared" si="5"/>
        <v>0</v>
      </c>
    </row>
    <row r="51" spans="2:17" x14ac:dyDescent="0.25">
      <c r="B51" s="13" t="s">
        <v>57</v>
      </c>
      <c r="C51" s="7">
        <v>0</v>
      </c>
      <c r="D51" s="7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f t="shared" si="5"/>
        <v>0</v>
      </c>
    </row>
    <row r="52" spans="2:17" x14ac:dyDescent="0.25">
      <c r="B52" s="13" t="s">
        <v>58</v>
      </c>
      <c r="C52" s="7">
        <v>0</v>
      </c>
      <c r="D52" s="7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f t="shared" si="5"/>
        <v>0</v>
      </c>
    </row>
    <row r="53" spans="2:17" x14ac:dyDescent="0.25">
      <c r="B53" s="13" t="s">
        <v>59</v>
      </c>
      <c r="C53" s="7">
        <v>1432429475</v>
      </c>
      <c r="D53" s="7">
        <v>270000000</v>
      </c>
      <c r="E53" s="14">
        <v>0</v>
      </c>
      <c r="F53" s="14">
        <f>VLOOKUP(B53,[3]RefCCPCuenta!$B$9:$F$46,4,FALSE)</f>
        <v>300000000</v>
      </c>
      <c r="G53" s="14">
        <v>553513392</v>
      </c>
      <c r="H53" s="14">
        <v>268916083</v>
      </c>
      <c r="I53" s="14">
        <v>0</v>
      </c>
      <c r="J53" s="14">
        <v>0</v>
      </c>
      <c r="K53" s="14">
        <v>0</v>
      </c>
      <c r="L53" s="14">
        <v>0</v>
      </c>
      <c r="M53" s="14">
        <v>350000000</v>
      </c>
      <c r="N53" s="14">
        <v>150000000</v>
      </c>
      <c r="O53" s="14">
        <v>461083917</v>
      </c>
      <c r="P53" s="14">
        <v>0</v>
      </c>
      <c r="Q53" s="14">
        <f t="shared" si="5"/>
        <v>2083513392</v>
      </c>
    </row>
    <row r="54" spans="2:17" x14ac:dyDescent="0.25">
      <c r="B54" s="13" t="s">
        <v>60</v>
      </c>
      <c r="C54" s="7">
        <v>0</v>
      </c>
      <c r="D54" s="7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f t="shared" si="5"/>
        <v>0</v>
      </c>
    </row>
    <row r="55" spans="2:17" x14ac:dyDescent="0.25">
      <c r="B55" s="13" t="s">
        <v>61</v>
      </c>
      <c r="C55" s="7">
        <v>0</v>
      </c>
      <c r="D55" s="7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f t="shared" si="5"/>
        <v>0</v>
      </c>
    </row>
    <row r="56" spans="2:17" x14ac:dyDescent="0.25">
      <c r="B56" s="13" t="s">
        <v>62</v>
      </c>
      <c r="C56" s="7">
        <v>0</v>
      </c>
      <c r="D56" s="7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f t="shared" si="5"/>
        <v>0</v>
      </c>
    </row>
    <row r="57" spans="2:17" x14ac:dyDescent="0.25">
      <c r="B57" s="10" t="s">
        <v>63</v>
      </c>
      <c r="C57" s="7">
        <v>1960491203</v>
      </c>
      <c r="D57" s="7">
        <v>157494239</v>
      </c>
      <c r="E57" s="11">
        <f t="shared" ref="E57:P57" si="11">+SUM(E58:E66)</f>
        <v>102908557.17</v>
      </c>
      <c r="F57" s="16">
        <f t="shared" si="11"/>
        <v>396055915.40000004</v>
      </c>
      <c r="G57" s="16">
        <f t="shared" si="11"/>
        <v>42956193.960000001</v>
      </c>
      <c r="H57" s="16">
        <f t="shared" si="11"/>
        <v>163977078.30999997</v>
      </c>
      <c r="I57" s="16">
        <f t="shared" si="11"/>
        <v>170391926.28</v>
      </c>
      <c r="J57" s="16">
        <f t="shared" si="11"/>
        <v>61305094.619999997</v>
      </c>
      <c r="K57" s="16">
        <f t="shared" si="11"/>
        <v>116729246.48000002</v>
      </c>
      <c r="L57" s="16">
        <f t="shared" si="11"/>
        <v>62066343.219999999</v>
      </c>
      <c r="M57" s="16">
        <f t="shared" si="11"/>
        <v>52774595.710000001</v>
      </c>
      <c r="N57" s="16">
        <f t="shared" si="11"/>
        <v>331298621.00999999</v>
      </c>
      <c r="O57" s="16">
        <f t="shared" si="11"/>
        <v>11682124.049999999</v>
      </c>
      <c r="P57" s="16">
        <f t="shared" si="11"/>
        <v>106617166.44</v>
      </c>
      <c r="Q57" s="11">
        <f t="shared" si="5"/>
        <v>1618762862.6500001</v>
      </c>
    </row>
    <row r="58" spans="2:17" x14ac:dyDescent="0.25">
      <c r="B58" s="13" t="s">
        <v>64</v>
      </c>
      <c r="C58" s="7">
        <v>306806631</v>
      </c>
      <c r="D58" s="7">
        <v>200760681</v>
      </c>
      <c r="E58" s="14">
        <v>17901662.170000002</v>
      </c>
      <c r="F58" s="14">
        <f>VLOOKUP(B58,[3]RefCCPCuenta!$B$9:$F$46,4,FALSE)</f>
        <v>347313.43</v>
      </c>
      <c r="G58" s="14">
        <v>40726931.920000002</v>
      </c>
      <c r="H58" s="14">
        <v>20011891.129999999</v>
      </c>
      <c r="I58" s="18">
        <v>39118945.240000002</v>
      </c>
      <c r="J58" s="18">
        <v>23957819.579999998</v>
      </c>
      <c r="K58" s="14">
        <v>9885696.3900000006</v>
      </c>
      <c r="L58" s="14">
        <v>28799.98</v>
      </c>
      <c r="M58" s="14">
        <v>40707279.829999998</v>
      </c>
      <c r="N58" s="14">
        <v>6906544.0300000003</v>
      </c>
      <c r="O58" s="14">
        <v>10264446.27</v>
      </c>
      <c r="P58" s="14">
        <v>58193256.219999999</v>
      </c>
      <c r="Q58" s="14">
        <f t="shared" si="5"/>
        <v>268050586.19000003</v>
      </c>
    </row>
    <row r="59" spans="2:17" x14ac:dyDescent="0.25">
      <c r="B59" s="13" t="s">
        <v>65</v>
      </c>
      <c r="C59" s="7">
        <v>7942136</v>
      </c>
      <c r="D59" s="7">
        <v>3400000</v>
      </c>
      <c r="E59" s="14">
        <v>131605.4</v>
      </c>
      <c r="F59" s="14">
        <f>VLOOKUP(B59,[3]RefCCPCuenta!$B$9:$F$46,4,FALSE)</f>
        <v>505065.24</v>
      </c>
      <c r="G59" s="14">
        <v>0</v>
      </c>
      <c r="H59" s="14">
        <v>2020260.94</v>
      </c>
      <c r="I59" s="14">
        <v>0</v>
      </c>
      <c r="J59" s="18">
        <v>0</v>
      </c>
      <c r="K59" s="14">
        <v>51900</v>
      </c>
      <c r="L59" s="14">
        <v>0</v>
      </c>
      <c r="M59" s="14">
        <v>519863.46</v>
      </c>
      <c r="N59" s="14">
        <v>0</v>
      </c>
      <c r="O59" s="14">
        <v>0</v>
      </c>
      <c r="P59" s="14">
        <v>115914.33</v>
      </c>
      <c r="Q59" s="14">
        <f t="shared" si="5"/>
        <v>3344609.37</v>
      </c>
    </row>
    <row r="60" spans="2:17" x14ac:dyDescent="0.25">
      <c r="B60" s="13" t="s">
        <v>66</v>
      </c>
      <c r="C60" s="7">
        <v>1218573710</v>
      </c>
      <c r="D60" s="7">
        <v>-64764818</v>
      </c>
      <c r="E60" s="14">
        <v>84622113.519999996</v>
      </c>
      <c r="F60" s="14">
        <f>VLOOKUP(B60,[3]RefCCPCuenta!$B$9:$F$46,4,FALSE)</f>
        <v>313342545.11000001</v>
      </c>
      <c r="G60" s="14">
        <v>0</v>
      </c>
      <c r="H60" s="14">
        <v>107377522.56999999</v>
      </c>
      <c r="I60" s="18">
        <v>127785333.44</v>
      </c>
      <c r="J60" s="18">
        <v>23559647.149999999</v>
      </c>
      <c r="K60" s="14">
        <v>106307888.51000001</v>
      </c>
      <c r="L60" s="14">
        <v>50020087.840000004</v>
      </c>
      <c r="M60" s="14">
        <v>4446973.8099999996</v>
      </c>
      <c r="N60" s="14">
        <v>322044720.85000002</v>
      </c>
      <c r="O60" s="14">
        <v>0</v>
      </c>
      <c r="P60" s="14">
        <v>42631745.090000004</v>
      </c>
      <c r="Q60" s="14">
        <f t="shared" si="5"/>
        <v>1182138577.8899999</v>
      </c>
    </row>
    <row r="61" spans="2:17" x14ac:dyDescent="0.25">
      <c r="B61" s="13" t="s">
        <v>67</v>
      </c>
      <c r="C61" s="7">
        <v>53160000</v>
      </c>
      <c r="D61" s="7">
        <v>1430000</v>
      </c>
      <c r="E61" s="14">
        <v>0</v>
      </c>
      <c r="F61" s="14">
        <f>VLOOKUP(B61,[3]RefCCPCuenta!$B$9:$F$46,4,FALSE)</f>
        <v>0</v>
      </c>
      <c r="G61" s="14">
        <v>0</v>
      </c>
      <c r="H61" s="14">
        <v>0</v>
      </c>
      <c r="I61" s="18"/>
      <c r="J61" s="18">
        <v>0</v>
      </c>
      <c r="K61" s="14">
        <v>0</v>
      </c>
      <c r="L61" s="14">
        <v>0</v>
      </c>
      <c r="M61" s="14">
        <v>0</v>
      </c>
      <c r="N61" s="14">
        <v>28389.84</v>
      </c>
      <c r="O61" s="14">
        <v>0</v>
      </c>
      <c r="P61" s="14">
        <v>0</v>
      </c>
      <c r="Q61" s="14">
        <f t="shared" si="5"/>
        <v>28389.84</v>
      </c>
    </row>
    <row r="62" spans="2:17" x14ac:dyDescent="0.25">
      <c r="B62" s="13" t="s">
        <v>68</v>
      </c>
      <c r="C62" s="7">
        <v>304446775</v>
      </c>
      <c r="D62" s="7">
        <v>19067976</v>
      </c>
      <c r="E62" s="14">
        <v>253176.08</v>
      </c>
      <c r="F62" s="14">
        <f>VLOOKUP(B62,[3]RefCCPCuenta!$B$9:$F$46,4,FALSE)</f>
        <v>80897588.549999997</v>
      </c>
      <c r="G62" s="14">
        <v>2229262.04</v>
      </c>
      <c r="H62" s="14">
        <v>29363514.629999999</v>
      </c>
      <c r="I62" s="18">
        <v>3487647.6</v>
      </c>
      <c r="J62" s="18">
        <v>8076347.9299999997</v>
      </c>
      <c r="K62" s="14">
        <v>447689.4</v>
      </c>
      <c r="L62" s="14">
        <v>10826919.18</v>
      </c>
      <c r="M62" s="14">
        <v>4749220.18</v>
      </c>
      <c r="N62" s="14">
        <v>2318966.29</v>
      </c>
      <c r="O62" s="14">
        <v>1417677.78</v>
      </c>
      <c r="P62" s="14">
        <v>5676250.7999999998</v>
      </c>
      <c r="Q62" s="14">
        <f t="shared" si="5"/>
        <v>149744260.46000001</v>
      </c>
    </row>
    <row r="63" spans="2:17" x14ac:dyDescent="0.25">
      <c r="B63" s="13" t="s">
        <v>69</v>
      </c>
      <c r="C63" s="7">
        <v>14400000</v>
      </c>
      <c r="D63" s="7">
        <v>14400000</v>
      </c>
      <c r="E63" s="14">
        <v>0</v>
      </c>
      <c r="F63" s="14">
        <f>VLOOKUP(B63,[3]RefCCPCuenta!$B$9:$F$46,4,FALSE)</f>
        <v>0</v>
      </c>
      <c r="G63" s="14">
        <v>0</v>
      </c>
      <c r="H63" s="14">
        <v>0</v>
      </c>
      <c r="I63" s="14">
        <v>0</v>
      </c>
      <c r="J63" s="18">
        <v>0</v>
      </c>
      <c r="K63" s="14">
        <v>0</v>
      </c>
      <c r="L63" s="14">
        <v>1190536.22</v>
      </c>
      <c r="M63" s="14">
        <v>2351258.4300000002</v>
      </c>
      <c r="N63" s="14">
        <v>0</v>
      </c>
      <c r="O63" s="14">
        <v>0</v>
      </c>
      <c r="P63" s="14">
        <v>0</v>
      </c>
      <c r="Q63" s="14">
        <f t="shared" si="5"/>
        <v>3541794.6500000004</v>
      </c>
    </row>
    <row r="64" spans="2:17" x14ac:dyDescent="0.25">
      <c r="B64" s="13" t="s">
        <v>70</v>
      </c>
      <c r="C64" s="7">
        <v>0</v>
      </c>
      <c r="D64" s="7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8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f t="shared" si="5"/>
        <v>0</v>
      </c>
    </row>
    <row r="65" spans="2:17" x14ac:dyDescent="0.25">
      <c r="B65" s="13" t="s">
        <v>71</v>
      </c>
      <c r="C65" s="7">
        <v>42010000</v>
      </c>
      <c r="D65" s="7">
        <v>-8000000</v>
      </c>
      <c r="E65" s="14">
        <v>0</v>
      </c>
      <c r="F65" s="14">
        <f>VLOOKUP(B65,[3]RefCCPCuenta!$B$9:$F$46,4,FALSE)</f>
        <v>0</v>
      </c>
      <c r="G65" s="14">
        <v>0</v>
      </c>
      <c r="H65" s="14">
        <v>39772.04</v>
      </c>
      <c r="I65" s="14">
        <v>0</v>
      </c>
      <c r="J65" s="18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f t="shared" si="5"/>
        <v>39772.04</v>
      </c>
    </row>
    <row r="66" spans="2:17" x14ac:dyDescent="0.25">
      <c r="B66" s="13" t="s">
        <v>72</v>
      </c>
      <c r="C66" s="7">
        <v>13151951</v>
      </c>
      <c r="D66" s="7">
        <v>-8799600</v>
      </c>
      <c r="E66" s="14">
        <v>0</v>
      </c>
      <c r="F66" s="14">
        <f>VLOOKUP(B66,[3]RefCCPCuenta!$B$9:$F$46,4,FALSE)</f>
        <v>963403.07</v>
      </c>
      <c r="G66" s="14">
        <v>0</v>
      </c>
      <c r="H66" s="14">
        <v>5164117</v>
      </c>
      <c r="I66" s="14">
        <v>0</v>
      </c>
      <c r="J66" s="18">
        <v>5711279.96</v>
      </c>
      <c r="K66" s="14">
        <v>36072.18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f t="shared" si="5"/>
        <v>11874872.210000001</v>
      </c>
    </row>
    <row r="67" spans="2:17" x14ac:dyDescent="0.25">
      <c r="B67" s="10" t="s">
        <v>73</v>
      </c>
      <c r="C67" s="7">
        <v>6674991280</v>
      </c>
      <c r="D67" s="7">
        <v>-555709748</v>
      </c>
      <c r="E67" s="11">
        <f t="shared" ref="E67:O67" si="12">+SUM(E68:E71)</f>
        <v>290900959.35000002</v>
      </c>
      <c r="F67" s="16">
        <f t="shared" si="12"/>
        <v>578304858.13999999</v>
      </c>
      <c r="G67" s="16">
        <f t="shared" si="12"/>
        <v>368276708.09000003</v>
      </c>
      <c r="H67" s="16">
        <f t="shared" si="12"/>
        <v>1247157530.4200001</v>
      </c>
      <c r="I67" s="16">
        <f>+SUM(I68:I71)</f>
        <v>1531481866.6099999</v>
      </c>
      <c r="J67" s="16">
        <f t="shared" si="12"/>
        <v>950695211.15999997</v>
      </c>
      <c r="K67" s="16">
        <f t="shared" si="12"/>
        <v>394221859.02999997</v>
      </c>
      <c r="L67" s="16">
        <f t="shared" si="12"/>
        <v>802795653.23000002</v>
      </c>
      <c r="M67" s="16">
        <f t="shared" si="12"/>
        <v>1881666764.21</v>
      </c>
      <c r="N67" s="16">
        <f t="shared" si="12"/>
        <v>1519526211.6700001</v>
      </c>
      <c r="O67" s="16">
        <f t="shared" si="12"/>
        <v>933663865.8599999</v>
      </c>
      <c r="P67" s="16">
        <f>+SUM(P68:P71)</f>
        <v>2254405339.4700003</v>
      </c>
      <c r="Q67" s="11">
        <f t="shared" si="5"/>
        <v>12753096827.240002</v>
      </c>
    </row>
    <row r="68" spans="2:17" x14ac:dyDescent="0.25">
      <c r="B68" s="13" t="s">
        <v>74</v>
      </c>
      <c r="C68" s="7">
        <v>5781743562</v>
      </c>
      <c r="D68" s="7">
        <v>-1033850246</v>
      </c>
      <c r="E68" s="14">
        <f>+_xlfn.XLOOKUP(B68,'[1]RefCCPCuenta (2)'!$B:$B,'[1]RefCCPCuenta (2)'!$D:$D)</f>
        <v>290900959.35000002</v>
      </c>
      <c r="F68" s="14">
        <f>VLOOKUP(B68,[3]RefCCPCuenta!$B$9:$F$46,4,FALSE)</f>
        <v>578304858.13999999</v>
      </c>
      <c r="G68" s="14">
        <v>193313225.71000001</v>
      </c>
      <c r="H68" s="14">
        <v>1194757752.04</v>
      </c>
      <c r="I68" s="18">
        <v>1516127373.1199999</v>
      </c>
      <c r="J68" s="18">
        <v>726272484.5</v>
      </c>
      <c r="K68" s="14">
        <v>190534962.09999999</v>
      </c>
      <c r="L68" s="14">
        <v>738209181.11000001</v>
      </c>
      <c r="M68" s="14">
        <v>1031943317.22</v>
      </c>
      <c r="N68" s="14">
        <v>916007187.77999997</v>
      </c>
      <c r="O68" s="14">
        <v>786540666.65999997</v>
      </c>
      <c r="P68" s="14">
        <v>1350302536.71</v>
      </c>
      <c r="Q68" s="14">
        <f>+SUM(E68:P68)</f>
        <v>9513214504.4399986</v>
      </c>
    </row>
    <row r="69" spans="2:17" x14ac:dyDescent="0.25">
      <c r="B69" s="13" t="s">
        <v>75</v>
      </c>
      <c r="C69" s="7">
        <v>893247718</v>
      </c>
      <c r="D69" s="7">
        <v>478140498</v>
      </c>
      <c r="E69" s="14">
        <f>+_xlfn.XLOOKUP(B69,'[1]RefCCPCuenta (2)'!$B:$B,'[1]RefCCPCuenta (2)'!$D:$D)</f>
        <v>0</v>
      </c>
      <c r="F69" s="14">
        <f>VLOOKUP(B69,[3]RefCCPCuenta!$B$9:$F$46,4,FALSE)</f>
        <v>0</v>
      </c>
      <c r="G69" s="14">
        <v>174963482.38</v>
      </c>
      <c r="H69" s="14">
        <v>52399778.380000003</v>
      </c>
      <c r="I69" s="18">
        <v>15354493.49</v>
      </c>
      <c r="J69" s="18">
        <v>224422726.66</v>
      </c>
      <c r="K69" s="14">
        <v>203686896.93000001</v>
      </c>
      <c r="L69" s="14">
        <v>64586472.119999997</v>
      </c>
      <c r="M69" s="14">
        <v>849723446.99000001</v>
      </c>
      <c r="N69" s="14">
        <v>603519023.88999999</v>
      </c>
      <c r="O69" s="14">
        <v>147123199.19999999</v>
      </c>
      <c r="P69" s="14">
        <v>904102802.75999999</v>
      </c>
      <c r="Q69" s="14">
        <f t="shared" si="5"/>
        <v>3239882322.7999992</v>
      </c>
    </row>
    <row r="70" spans="2:17" x14ac:dyDescent="0.25">
      <c r="B70" s="13" t="s">
        <v>76</v>
      </c>
      <c r="C70" s="7">
        <v>0</v>
      </c>
      <c r="D70" s="7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f t="shared" si="5"/>
        <v>0</v>
      </c>
    </row>
    <row r="71" spans="2:17" x14ac:dyDescent="0.25">
      <c r="B71" s="13" t="s">
        <v>77</v>
      </c>
      <c r="C71" s="7">
        <v>0</v>
      </c>
      <c r="D71" s="7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f t="shared" si="5"/>
        <v>0</v>
      </c>
    </row>
    <row r="72" spans="2:17" x14ac:dyDescent="0.25">
      <c r="B72" s="10" t="s">
        <v>78</v>
      </c>
      <c r="C72" s="7">
        <v>0</v>
      </c>
      <c r="D72" s="7">
        <v>0</v>
      </c>
      <c r="E72" s="11">
        <f>+SUM(E73:E77)</f>
        <v>0</v>
      </c>
      <c r="F72" s="16">
        <f>+SUM(F73:F77)</f>
        <v>0</v>
      </c>
      <c r="G72" s="16">
        <f>+SUM(G73:G77)</f>
        <v>0</v>
      </c>
      <c r="H72" s="16">
        <f>+SUM(H73:H77)</f>
        <v>0</v>
      </c>
      <c r="I72" s="16">
        <f t="shared" ref="I72:P72" si="13">+SUM(I73:I77)</f>
        <v>0</v>
      </c>
      <c r="J72" s="16">
        <f t="shared" si="13"/>
        <v>0</v>
      </c>
      <c r="K72" s="16">
        <f t="shared" si="13"/>
        <v>0</v>
      </c>
      <c r="L72" s="16">
        <f t="shared" si="13"/>
        <v>0</v>
      </c>
      <c r="M72" s="16">
        <f t="shared" si="13"/>
        <v>0</v>
      </c>
      <c r="N72" s="16">
        <f t="shared" si="13"/>
        <v>0</v>
      </c>
      <c r="O72" s="16">
        <f t="shared" si="13"/>
        <v>0</v>
      </c>
      <c r="P72" s="16">
        <f t="shared" si="13"/>
        <v>0</v>
      </c>
      <c r="Q72" s="11">
        <f t="shared" si="5"/>
        <v>0</v>
      </c>
    </row>
    <row r="73" spans="2:17" x14ac:dyDescent="0.25">
      <c r="B73" s="13" t="s">
        <v>79</v>
      </c>
      <c r="C73" s="7">
        <v>0</v>
      </c>
      <c r="D73" s="7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f t="shared" si="5"/>
        <v>0</v>
      </c>
    </row>
    <row r="74" spans="2:17" x14ac:dyDescent="0.25">
      <c r="B74" s="13" t="s">
        <v>80</v>
      </c>
      <c r="C74" s="7">
        <v>0</v>
      </c>
      <c r="D74" s="7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f t="shared" si="5"/>
        <v>0</v>
      </c>
    </row>
    <row r="75" spans="2:17" x14ac:dyDescent="0.25">
      <c r="B75" s="13" t="s">
        <v>81</v>
      </c>
      <c r="C75" s="7">
        <v>0</v>
      </c>
      <c r="D75" s="7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f t="shared" si="5"/>
        <v>0</v>
      </c>
    </row>
    <row r="76" spans="2:17" x14ac:dyDescent="0.25">
      <c r="B76" s="13" t="s">
        <v>82</v>
      </c>
      <c r="C76" s="7">
        <v>0</v>
      </c>
      <c r="D76" s="7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f t="shared" si="5"/>
        <v>0</v>
      </c>
    </row>
    <row r="77" spans="2:17" x14ac:dyDescent="0.25">
      <c r="B77" s="13" t="s">
        <v>83</v>
      </c>
      <c r="C77" s="7">
        <v>0</v>
      </c>
      <c r="D77" s="7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f t="shared" si="5"/>
        <v>0</v>
      </c>
    </row>
    <row r="78" spans="2:17" x14ac:dyDescent="0.25">
      <c r="B78" s="10" t="s">
        <v>84</v>
      </c>
      <c r="C78" s="7">
        <v>0</v>
      </c>
      <c r="D78" s="7">
        <v>0</v>
      </c>
      <c r="E78" s="11">
        <f>+SUM(E79:E83)</f>
        <v>0</v>
      </c>
      <c r="F78" s="16">
        <f>+SUM(F79:F83)</f>
        <v>0</v>
      </c>
      <c r="G78" s="16">
        <f>+SUM(G79:G83)</f>
        <v>0</v>
      </c>
      <c r="H78" s="16">
        <f>+SUM(H79:H83)</f>
        <v>0</v>
      </c>
      <c r="I78" s="16">
        <f t="shared" ref="I78:M78" si="14">+SUM(I79:I83)</f>
        <v>0</v>
      </c>
      <c r="J78" s="16">
        <f t="shared" si="14"/>
        <v>0</v>
      </c>
      <c r="K78" s="16">
        <f t="shared" si="14"/>
        <v>0</v>
      </c>
      <c r="L78" s="16">
        <f t="shared" si="14"/>
        <v>0</v>
      </c>
      <c r="M78" s="16">
        <f t="shared" si="14"/>
        <v>0</v>
      </c>
      <c r="N78" s="16">
        <f>+SUM(N79:N83)</f>
        <v>0</v>
      </c>
      <c r="O78" s="16">
        <f>+SUM(O79:O83)</f>
        <v>0</v>
      </c>
      <c r="P78" s="16">
        <f>+SUM(P79:P83)</f>
        <v>0</v>
      </c>
      <c r="Q78" s="11">
        <f t="shared" ref="Q78:Q92" si="15">+SUM(E78:P78)</f>
        <v>0</v>
      </c>
    </row>
    <row r="79" spans="2:17" x14ac:dyDescent="0.25">
      <c r="B79" s="13" t="s">
        <v>85</v>
      </c>
      <c r="C79" s="7">
        <v>0</v>
      </c>
      <c r="D79" s="7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f t="shared" si="15"/>
        <v>0</v>
      </c>
    </row>
    <row r="80" spans="2:17" x14ac:dyDescent="0.25">
      <c r="B80" s="13" t="s">
        <v>86</v>
      </c>
      <c r="C80" s="7">
        <v>0</v>
      </c>
      <c r="D80" s="7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f t="shared" si="15"/>
        <v>0</v>
      </c>
    </row>
    <row r="81" spans="2:17" x14ac:dyDescent="0.25">
      <c r="B81" s="13" t="s">
        <v>87</v>
      </c>
      <c r="C81" s="7">
        <v>0</v>
      </c>
      <c r="D81" s="7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f t="shared" si="15"/>
        <v>0</v>
      </c>
    </row>
    <row r="82" spans="2:17" x14ac:dyDescent="0.25">
      <c r="B82" s="13" t="s">
        <v>88</v>
      </c>
      <c r="C82" s="7">
        <v>0</v>
      </c>
      <c r="D82" s="7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f t="shared" si="15"/>
        <v>0</v>
      </c>
    </row>
    <row r="83" spans="2:17" x14ac:dyDescent="0.25">
      <c r="B83" s="13" t="s">
        <v>89</v>
      </c>
      <c r="C83" s="7">
        <v>0</v>
      </c>
      <c r="D83" s="7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f t="shared" si="15"/>
        <v>0</v>
      </c>
    </row>
    <row r="84" spans="2:17" x14ac:dyDescent="0.25">
      <c r="B84" s="6" t="s">
        <v>90</v>
      </c>
      <c r="C84" s="7">
        <v>0</v>
      </c>
      <c r="D84" s="7">
        <v>0</v>
      </c>
      <c r="E84" s="8">
        <f>+E85+E88+E91</f>
        <v>0</v>
      </c>
      <c r="F84" s="9">
        <f>+F85+F88+F91</f>
        <v>0</v>
      </c>
      <c r="G84" s="9">
        <f>+G85+G88+G91</f>
        <v>0</v>
      </c>
      <c r="H84" s="9">
        <f>+H85+H88+H91</f>
        <v>0</v>
      </c>
      <c r="I84" s="9">
        <f t="shared" ref="I84:O84" si="16">+I85+I88+I91</f>
        <v>0</v>
      </c>
      <c r="J84" s="9">
        <f t="shared" si="16"/>
        <v>0</v>
      </c>
      <c r="K84" s="9">
        <f t="shared" si="16"/>
        <v>0</v>
      </c>
      <c r="L84" s="9">
        <f t="shared" si="16"/>
        <v>0</v>
      </c>
      <c r="M84" s="9">
        <f t="shared" si="16"/>
        <v>0</v>
      </c>
      <c r="N84" s="9">
        <f t="shared" si="16"/>
        <v>0</v>
      </c>
      <c r="O84" s="9">
        <f t="shared" si="16"/>
        <v>0</v>
      </c>
      <c r="P84" s="9">
        <f t="shared" ref="P84" si="17">+P85+P88+P91</f>
        <v>0</v>
      </c>
      <c r="Q84" s="8">
        <f t="shared" si="15"/>
        <v>0</v>
      </c>
    </row>
    <row r="85" spans="2:17" x14ac:dyDescent="0.25">
      <c r="B85" s="10" t="s">
        <v>91</v>
      </c>
      <c r="C85" s="7">
        <v>0</v>
      </c>
      <c r="D85" s="7">
        <v>0</v>
      </c>
      <c r="E85" s="11">
        <f>+SUM(E86:E87)</f>
        <v>0</v>
      </c>
      <c r="F85" s="16">
        <f>+SUM(F86:F87)</f>
        <v>0</v>
      </c>
      <c r="G85" s="16">
        <f>+SUM(G86:G87)</f>
        <v>0</v>
      </c>
      <c r="H85" s="16">
        <f>+SUM(H86:H87)</f>
        <v>0</v>
      </c>
      <c r="I85" s="16">
        <f t="shared" ref="I85:O85" si="18">+SUM(I86:I87)</f>
        <v>0</v>
      </c>
      <c r="J85" s="16">
        <f t="shared" si="18"/>
        <v>0</v>
      </c>
      <c r="K85" s="16">
        <f t="shared" si="18"/>
        <v>0</v>
      </c>
      <c r="L85" s="16">
        <f t="shared" si="18"/>
        <v>0</v>
      </c>
      <c r="M85" s="16">
        <f t="shared" si="18"/>
        <v>0</v>
      </c>
      <c r="N85" s="16">
        <f t="shared" si="18"/>
        <v>0</v>
      </c>
      <c r="O85" s="16">
        <f t="shared" si="18"/>
        <v>0</v>
      </c>
      <c r="P85" s="16">
        <f t="shared" ref="P85" si="19">+SUM(P86:P87)</f>
        <v>0</v>
      </c>
      <c r="Q85" s="11">
        <f t="shared" si="15"/>
        <v>0</v>
      </c>
    </row>
    <row r="86" spans="2:17" x14ac:dyDescent="0.25">
      <c r="B86" s="13" t="s">
        <v>92</v>
      </c>
      <c r="C86" s="7">
        <v>0</v>
      </c>
      <c r="D86" s="7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f t="shared" si="15"/>
        <v>0</v>
      </c>
    </row>
    <row r="87" spans="2:17" x14ac:dyDescent="0.25">
      <c r="B87" s="13" t="s">
        <v>93</v>
      </c>
      <c r="C87" s="7">
        <v>0</v>
      </c>
      <c r="D87" s="7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f t="shared" si="15"/>
        <v>0</v>
      </c>
    </row>
    <row r="88" spans="2:17" x14ac:dyDescent="0.25">
      <c r="B88" s="10" t="s">
        <v>94</v>
      </c>
      <c r="C88" s="7">
        <v>0</v>
      </c>
      <c r="D88" s="7">
        <v>0</v>
      </c>
      <c r="E88" s="11">
        <f>+SUM(E89:E90)</f>
        <v>0</v>
      </c>
      <c r="F88" s="16">
        <f>+SUM(F89:F90)</f>
        <v>0</v>
      </c>
      <c r="G88" s="16">
        <f>+SUM(G89:G90)</f>
        <v>0</v>
      </c>
      <c r="H88" s="16">
        <f>+SUM(H89:H90)</f>
        <v>0</v>
      </c>
      <c r="I88" s="16">
        <f t="shared" ref="I88:P88" si="20">+SUM(I89:I90)</f>
        <v>0</v>
      </c>
      <c r="J88" s="16">
        <f t="shared" si="20"/>
        <v>0</v>
      </c>
      <c r="K88" s="16">
        <f t="shared" si="20"/>
        <v>0</v>
      </c>
      <c r="L88" s="16">
        <f t="shared" si="20"/>
        <v>0</v>
      </c>
      <c r="M88" s="16">
        <f t="shared" si="20"/>
        <v>0</v>
      </c>
      <c r="N88" s="16">
        <f t="shared" si="20"/>
        <v>0</v>
      </c>
      <c r="O88" s="16">
        <f t="shared" si="20"/>
        <v>0</v>
      </c>
      <c r="P88" s="16">
        <f t="shared" si="20"/>
        <v>0</v>
      </c>
      <c r="Q88" s="11">
        <f t="shared" si="15"/>
        <v>0</v>
      </c>
    </row>
    <row r="89" spans="2:17" x14ac:dyDescent="0.25">
      <c r="B89" s="13" t="s">
        <v>95</v>
      </c>
      <c r="C89" s="7">
        <v>0</v>
      </c>
      <c r="D89" s="7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f t="shared" si="15"/>
        <v>0</v>
      </c>
    </row>
    <row r="90" spans="2:17" x14ac:dyDescent="0.25">
      <c r="B90" s="13" t="s">
        <v>96</v>
      </c>
      <c r="C90" s="7">
        <v>0</v>
      </c>
      <c r="D90" s="7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f t="shared" si="15"/>
        <v>0</v>
      </c>
    </row>
    <row r="91" spans="2:17" x14ac:dyDescent="0.25">
      <c r="B91" s="10" t="s">
        <v>97</v>
      </c>
      <c r="C91" s="7">
        <v>0</v>
      </c>
      <c r="D91" s="7">
        <v>0</v>
      </c>
      <c r="E91" s="21">
        <f>+SUM(E92)</f>
        <v>0</v>
      </c>
      <c r="F91" s="16">
        <f>+SUM(F92)</f>
        <v>0</v>
      </c>
      <c r="G91" s="16">
        <f>+SUM(G92)</f>
        <v>0</v>
      </c>
      <c r="H91" s="16">
        <f>+SUM(H92)</f>
        <v>0</v>
      </c>
      <c r="I91" s="16">
        <f t="shared" ref="I91:P91" si="21">+SUM(I92)</f>
        <v>0</v>
      </c>
      <c r="J91" s="16">
        <f t="shared" si="21"/>
        <v>0</v>
      </c>
      <c r="K91" s="16">
        <f t="shared" si="21"/>
        <v>0</v>
      </c>
      <c r="L91" s="16">
        <f t="shared" si="21"/>
        <v>0</v>
      </c>
      <c r="M91" s="16">
        <f t="shared" si="21"/>
        <v>0</v>
      </c>
      <c r="N91" s="16">
        <f t="shared" si="21"/>
        <v>0</v>
      </c>
      <c r="O91" s="16">
        <f t="shared" si="21"/>
        <v>0</v>
      </c>
      <c r="P91" s="16">
        <f t="shared" si="21"/>
        <v>0</v>
      </c>
      <c r="Q91" s="11">
        <f t="shared" si="15"/>
        <v>0</v>
      </c>
    </row>
    <row r="92" spans="2:17" ht="15.75" thickBot="1" x14ac:dyDescent="0.3">
      <c r="B92" s="13" t="s">
        <v>98</v>
      </c>
      <c r="C92" s="7">
        <v>0</v>
      </c>
      <c r="D92" s="7">
        <v>0</v>
      </c>
      <c r="E92" s="14">
        <v>0</v>
      </c>
      <c r="F92" s="14">
        <v>0</v>
      </c>
      <c r="G92" s="14">
        <v>0</v>
      </c>
      <c r="H92" s="14">
        <v>0</v>
      </c>
      <c r="I92" s="18"/>
      <c r="J92" s="18"/>
      <c r="K92" s="19"/>
      <c r="L92" s="18"/>
      <c r="M92" s="18"/>
      <c r="N92" s="19"/>
      <c r="O92" s="18"/>
      <c r="P92" s="18"/>
      <c r="Q92" s="14">
        <f t="shared" si="15"/>
        <v>0</v>
      </c>
    </row>
    <row r="93" spans="2:17" ht="15.75" thickTop="1" x14ac:dyDescent="0.25">
      <c r="B93" s="6" t="s">
        <v>99</v>
      </c>
      <c r="C93" s="7">
        <v>13772224962</v>
      </c>
      <c r="D93" s="7">
        <v>498832438</v>
      </c>
      <c r="E93" s="22">
        <f t="shared" ref="E93:P93" si="22">+E13</f>
        <v>559848065.21000004</v>
      </c>
      <c r="F93" s="23">
        <f t="shared" si="22"/>
        <v>1585230502.4400001</v>
      </c>
      <c r="G93" s="23">
        <f t="shared" si="22"/>
        <v>1239297640.0700002</v>
      </c>
      <c r="H93" s="23">
        <f t="shared" si="22"/>
        <v>1968674331.7</v>
      </c>
      <c r="I93" s="23">
        <f t="shared" si="22"/>
        <v>2097695918.21</v>
      </c>
      <c r="J93" s="23">
        <f t="shared" si="22"/>
        <v>1360522286.6599998</v>
      </c>
      <c r="K93" s="22">
        <f t="shared" si="22"/>
        <v>710661522.46000004</v>
      </c>
      <c r="L93" s="23">
        <f t="shared" si="22"/>
        <v>1057075416.8100001</v>
      </c>
      <c r="M93" s="23">
        <f t="shared" si="22"/>
        <v>2493592620.1100001</v>
      </c>
      <c r="N93" s="22">
        <f t="shared" si="22"/>
        <v>2314740186.8000002</v>
      </c>
      <c r="O93" s="23">
        <f t="shared" si="22"/>
        <v>1665555265.2399998</v>
      </c>
      <c r="P93" s="23">
        <f t="shared" si="22"/>
        <v>2836332541.8299999</v>
      </c>
      <c r="Q93" s="22">
        <f t="shared" ref="Q93" si="23">SUM(E93:P93)</f>
        <v>19889226297.540001</v>
      </c>
    </row>
    <row r="95" spans="2:17" ht="15.75" thickBot="1" x14ac:dyDescent="0.3"/>
    <row r="96" spans="2:17" ht="15.75" thickBot="1" x14ac:dyDescent="0.3">
      <c r="B96" s="24" t="s">
        <v>100</v>
      </c>
    </row>
    <row r="97" spans="2:2" ht="31.5" customHeight="1" thickBot="1" x14ac:dyDescent="0.3">
      <c r="B97" s="25" t="s">
        <v>101</v>
      </c>
    </row>
    <row r="98" spans="2:2" ht="21" customHeight="1" x14ac:dyDescent="0.25">
      <c r="B98" s="53" t="s">
        <v>102</v>
      </c>
    </row>
    <row r="99" spans="2:2" ht="22.5" customHeight="1" thickBot="1" x14ac:dyDescent="0.3">
      <c r="B99" s="54"/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.36" bottom="1.44" header="0.31496062992125984" footer="0.31496062992125984"/>
  <pageSetup paperSize="9" scale="28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14" ma:contentTypeDescription="Crear nuevo documento." ma:contentTypeScope="" ma:versionID="916a72ff37cf955ad4db2a6c7f7aab95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b14ca7ed9338524f99b513fc1237fd55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d92dbfe-c2cc-4dbe-b7e6-e74cb4c9826a}" ma:internalName="TaxCatchAll" ma:showField="CatchAllData" ma:web="cea8701c-55d6-4189-9049-b42e5cb22d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b8c7ae-3c1c-4945-834e-34f6a24ec4c0">
      <Terms xmlns="http://schemas.microsoft.com/office/infopath/2007/PartnerControls"/>
    </lcf76f155ced4ddcb4097134ff3c332f>
    <TaxCatchAll xmlns="cea8701c-55d6-4189-9049-b42e5cb22d5d" xsi:nil="true"/>
    <_Flow_SignoffStatus xmlns="2eb8c7ae-3c1c-4945-834e-34f6a24ec4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E456BD-FFF3-4357-8006-F363D7DBE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C6D9C-10CF-4D49-8653-AD746E01B074}">
  <ds:schemaRefs>
    <ds:schemaRef ds:uri="http://schemas.microsoft.com/office/2006/metadata/properties"/>
    <ds:schemaRef ds:uri="http://schemas.microsoft.com/office/infopath/2007/PartnerControls"/>
    <ds:schemaRef ds:uri="2eb8c7ae-3c1c-4945-834e-34f6a24ec4c0"/>
    <ds:schemaRef ds:uri="cea8701c-55d6-4189-9049-b42e5cb22d5d"/>
  </ds:schemaRefs>
</ds:datastoreItem>
</file>

<file path=customXml/itemProps3.xml><?xml version="1.0" encoding="utf-8"?>
<ds:datastoreItem xmlns:ds="http://schemas.openxmlformats.org/officeDocument/2006/customXml" ds:itemID="{4FE64F62-D833-4231-B69F-D05D4CA205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Presupuesto aprobado 2024</vt:lpstr>
      <vt:lpstr>Ejec. Presu. enero 2025 </vt:lpstr>
      <vt:lpstr>ENERO1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ENERO1!Títulos_a_imprimir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'Presupuesto aprobado 2024'!Títulos_a_imprimir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2025-02-03T14:57:16Z</cp:lastPrinted>
  <dcterms:created xsi:type="dcterms:W3CDTF">2024-03-20T15:44:44Z</dcterms:created>
  <dcterms:modified xsi:type="dcterms:W3CDTF">2025-02-05T15:06:03Z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0x010100D985C635ECBD39499BC69D0AD2E2CEF6</vt:lpwstr>
  </property>
</Properties>
</file>